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90" windowWidth="20430" windowHeight="8235" tabRatio="956"/>
  </bookViews>
  <sheets>
    <sheet name="Farm Info" sheetId="7" r:id="rId1"/>
    <sheet name="Prdtn &amp; Acres" sheetId="5" r:id="rId2"/>
    <sheet name="Mo. Labor" sheetId="8" r:id="rId3"/>
    <sheet name="Expenses" sheetId="2" r:id="rId4"/>
    <sheet name="Cash Inc." sheetId="12" r:id="rId5"/>
    <sheet name="Leases" sheetId="18" r:id="rId6"/>
    <sheet name="Assets" sheetId="4" r:id="rId7"/>
    <sheet name="AR and Inv" sheetId="1" r:id="rId8"/>
    <sheet name="Liabilities" sheetId="6" r:id="rId9"/>
    <sheet name="R-Balance Sht" sheetId="16" r:id="rId10"/>
    <sheet name="R-Income Stmt" sheetId="15" r:id="rId11"/>
    <sheet name="R-Cash Flow" sheetId="9" r:id="rId12"/>
    <sheet name="R-Summary" sheetId="14" r:id="rId13"/>
  </sheets>
  <definedNames>
    <definedName name="_xlnm.Print_Area" localSheetId="7">'AR and Inv'!$A$1:$M$47</definedName>
    <definedName name="_xlnm.Print_Area" localSheetId="6">Assets!$A$1:$F$130</definedName>
    <definedName name="_xlnm.Print_Area" localSheetId="4">'Cash Inc.'!$A$1:$N$58</definedName>
    <definedName name="_xlnm.Print_Area" localSheetId="3">Expenses!$A$1:$N$128</definedName>
    <definedName name="_xlnm.Print_Area" localSheetId="0">'Farm Info'!$A$1:$F$48</definedName>
    <definedName name="_xlnm.Print_Area" localSheetId="8">Liabilities!$A$1:$L$46</definedName>
    <definedName name="_xlnm.Print_Area" localSheetId="2">'Mo. Labor'!$A$1:$M$40</definedName>
    <definedName name="_xlnm.Print_Area" localSheetId="1">'Prdtn &amp; Acres'!$A$1:$L$92</definedName>
    <definedName name="_xlnm.Print_Area" localSheetId="11">'R-Cash Flow'!$A$1:$G$53</definedName>
    <definedName name="_xlnm.Print_Area" localSheetId="12">'R-Summary'!$B$3:$H$70</definedName>
    <definedName name="_xlnm.Print_Titles" localSheetId="12">'R-Summary'!$1:$2</definedName>
  </definedNames>
  <calcPr calcId="145621"/>
</workbook>
</file>

<file path=xl/calcChain.xml><?xml version="1.0" encoding="utf-8"?>
<calcChain xmlns="http://schemas.openxmlformats.org/spreadsheetml/2006/main">
  <c r="C75" i="14" l="1"/>
  <c r="F33" i="16" l="1"/>
  <c r="F32" i="16"/>
  <c r="F31" i="16"/>
  <c r="F30" i="16"/>
  <c r="F29" i="16"/>
  <c r="F25" i="16"/>
  <c r="F24" i="16"/>
  <c r="F23" i="16"/>
  <c r="F22" i="16"/>
  <c r="F21" i="16"/>
  <c r="F20" i="16"/>
  <c r="F19" i="16"/>
  <c r="F18" i="16"/>
  <c r="F17" i="16"/>
  <c r="F16" i="16"/>
  <c r="F12" i="16"/>
  <c r="F11" i="16"/>
  <c r="F10" i="16"/>
  <c r="F37" i="4"/>
  <c r="B7" i="12"/>
  <c r="E47" i="2"/>
  <c r="L70" i="5"/>
  <c r="C73" i="14"/>
  <c r="K17" i="8"/>
  <c r="K18" i="8" s="1"/>
  <c r="B27" i="6"/>
  <c r="G26" i="16" s="1"/>
  <c r="B14" i="6"/>
  <c r="D86" i="2"/>
  <c r="C86" i="2"/>
  <c r="Q27" i="8"/>
  <c r="Q26" i="8"/>
  <c r="D5" i="12"/>
  <c r="L34" i="8"/>
  <c r="S15" i="2"/>
  <c r="S18" i="2" s="1"/>
  <c r="S13" i="2"/>
  <c r="I113" i="4"/>
  <c r="P8" i="5"/>
  <c r="P9" i="5"/>
  <c r="O8" i="5"/>
  <c r="B89" i="5"/>
  <c r="A41" i="12" s="1"/>
  <c r="B88" i="5"/>
  <c r="A40" i="12" s="1"/>
  <c r="B87" i="5"/>
  <c r="A39" i="12" s="1"/>
  <c r="B86" i="5"/>
  <c r="A38" i="12" s="1"/>
  <c r="B85" i="5"/>
  <c r="H85" i="5" s="1"/>
  <c r="B84" i="5"/>
  <c r="A36" i="12" s="1"/>
  <c r="B83" i="5"/>
  <c r="H83" i="5" s="1"/>
  <c r="B82" i="5"/>
  <c r="A34" i="12" s="1"/>
  <c r="C9" i="9"/>
  <c r="C16" i="9"/>
  <c r="C30" i="9"/>
  <c r="E41" i="9"/>
  <c r="C8" i="2"/>
  <c r="C9" i="2"/>
  <c r="C10" i="2"/>
  <c r="E42" i="9"/>
  <c r="C35" i="6"/>
  <c r="H34" i="16" s="1"/>
  <c r="H70" i="4"/>
  <c r="H63" i="4"/>
  <c r="H53" i="4"/>
  <c r="J70" i="4"/>
  <c r="J63" i="4"/>
  <c r="J53" i="4"/>
  <c r="E17" i="8"/>
  <c r="G17" i="8"/>
  <c r="I17" i="8"/>
  <c r="L77" i="5"/>
  <c r="L75" i="5"/>
  <c r="L61" i="5"/>
  <c r="D128" i="2"/>
  <c r="D103" i="2"/>
  <c r="C128" i="2"/>
  <c r="D85" i="2"/>
  <c r="D61" i="2"/>
  <c r="D84" i="2" s="1"/>
  <c r="C85" i="2"/>
  <c r="C61" i="2"/>
  <c r="C84" i="2" s="1"/>
  <c r="L24" i="8"/>
  <c r="D23" i="8"/>
  <c r="D4" i="12"/>
  <c r="C4" i="12" s="1"/>
  <c r="D6" i="12"/>
  <c r="C6" i="12" s="1"/>
  <c r="D7" i="6"/>
  <c r="D9" i="6"/>
  <c r="D10" i="6"/>
  <c r="D8" i="6"/>
  <c r="C29" i="9" s="1"/>
  <c r="E73" i="4"/>
  <c r="B25" i="18"/>
  <c r="B15" i="18"/>
  <c r="D91" i="2"/>
  <c r="C91" i="2" s="1"/>
  <c r="D54" i="2"/>
  <c r="C54" i="2" s="1"/>
  <c r="C39" i="8"/>
  <c r="C27" i="6"/>
  <c r="H26" i="16" s="1"/>
  <c r="B35" i="6"/>
  <c r="G34" i="16" s="1"/>
  <c r="C14" i="6"/>
  <c r="H13" i="16" s="1"/>
  <c r="H36" i="16" s="1"/>
  <c r="L31" i="6"/>
  <c r="L22" i="6"/>
  <c r="C53" i="4"/>
  <c r="C21" i="9"/>
  <c r="C20" i="4"/>
  <c r="C71" i="14" s="1"/>
  <c r="C62" i="4"/>
  <c r="C70" i="14" s="1"/>
  <c r="F72" i="4"/>
  <c r="D110" i="4"/>
  <c r="C110" i="4"/>
  <c r="C30" i="16" s="1"/>
  <c r="C99" i="4"/>
  <c r="C6" i="1"/>
  <c r="C46" i="1" s="1"/>
  <c r="E2" i="1"/>
  <c r="E6" i="1" s="1"/>
  <c r="E46" i="1" s="1"/>
  <c r="D17" i="8"/>
  <c r="E18" i="8" s="1"/>
  <c r="F17" i="8"/>
  <c r="H17" i="8"/>
  <c r="I18" i="8" s="1"/>
  <c r="J17" i="8"/>
  <c r="C6" i="2" s="1"/>
  <c r="F12" i="5"/>
  <c r="E126" i="2"/>
  <c r="E37" i="2" s="1"/>
  <c r="E83" i="2"/>
  <c r="D37" i="2" s="1"/>
  <c r="E82" i="2"/>
  <c r="D36" i="2" s="1"/>
  <c r="E81" i="2"/>
  <c r="D34" i="2" s="1"/>
  <c r="E80" i="2"/>
  <c r="D33" i="2" s="1"/>
  <c r="E79" i="2"/>
  <c r="D32" i="2" s="1"/>
  <c r="E78" i="2"/>
  <c r="D31" i="2" s="1"/>
  <c r="E77" i="2"/>
  <c r="D30" i="2" s="1"/>
  <c r="E76" i="2"/>
  <c r="D29" i="2"/>
  <c r="E75" i="2"/>
  <c r="D28" i="2" s="1"/>
  <c r="E74" i="2"/>
  <c r="D27" i="2" s="1"/>
  <c r="E72" i="2"/>
  <c r="E73" i="2"/>
  <c r="D26" i="2" s="1"/>
  <c r="E71" i="2"/>
  <c r="D25" i="2" s="1"/>
  <c r="E70" i="2"/>
  <c r="D24" i="2" s="1"/>
  <c r="E69" i="2"/>
  <c r="D23" i="2" s="1"/>
  <c r="E68" i="2"/>
  <c r="D22" i="2" s="1"/>
  <c r="E67" i="2"/>
  <c r="D21" i="2" s="1"/>
  <c r="E66" i="2"/>
  <c r="D20" i="2" s="1"/>
  <c r="E65" i="2"/>
  <c r="D19" i="2" s="1"/>
  <c r="E64" i="2"/>
  <c r="D18" i="2" s="1"/>
  <c r="E63" i="2"/>
  <c r="D17" i="2" s="1"/>
  <c r="E62" i="2"/>
  <c r="D16" i="2" s="1"/>
  <c r="E57" i="2"/>
  <c r="D10" i="2" s="1"/>
  <c r="G41" i="1"/>
  <c r="F49" i="12" s="1"/>
  <c r="G49" i="12" s="1"/>
  <c r="K16" i="1"/>
  <c r="F3" i="1"/>
  <c r="K28" i="1"/>
  <c r="F4" i="1" s="1"/>
  <c r="F5" i="1"/>
  <c r="G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E38" i="12" s="1"/>
  <c r="F32" i="1"/>
  <c r="G32" i="1" s="1"/>
  <c r="E39" i="12" s="1"/>
  <c r="F33" i="1"/>
  <c r="G33" i="1" s="1"/>
  <c r="E40" i="12" s="1"/>
  <c r="F34" i="1"/>
  <c r="G34" i="1"/>
  <c r="F12" i="1"/>
  <c r="G12" i="1" s="1"/>
  <c r="E11" i="12" s="1"/>
  <c r="G44" i="1"/>
  <c r="E53" i="12" s="1"/>
  <c r="G7" i="1"/>
  <c r="G8" i="1"/>
  <c r="G9" i="1"/>
  <c r="G13" i="1"/>
  <c r="G10" i="1"/>
  <c r="G11" i="1"/>
  <c r="E14" i="12" s="1"/>
  <c r="G14" i="1"/>
  <c r="G15" i="1"/>
  <c r="E16" i="12" s="1"/>
  <c r="G16" i="1"/>
  <c r="G17" i="1"/>
  <c r="G18" i="1"/>
  <c r="E19" i="12" s="1"/>
  <c r="G19" i="1"/>
  <c r="G20" i="1"/>
  <c r="E23" i="12" s="1"/>
  <c r="G21" i="1"/>
  <c r="F24" i="12" s="1"/>
  <c r="G24" i="12" s="1"/>
  <c r="G22" i="1"/>
  <c r="E26" i="12" s="1"/>
  <c r="G23" i="1"/>
  <c r="E28" i="12" s="1"/>
  <c r="G24" i="1"/>
  <c r="G25" i="1"/>
  <c r="G35" i="1"/>
  <c r="F43" i="12" s="1"/>
  <c r="G43" i="12" s="1"/>
  <c r="C12" i="15" s="1"/>
  <c r="G36" i="1"/>
  <c r="E44" i="12" s="1"/>
  <c r="G37" i="1"/>
  <c r="E45" i="12" s="1"/>
  <c r="G38" i="1"/>
  <c r="E46" i="12" s="1"/>
  <c r="G39" i="1"/>
  <c r="E47" i="12" s="1"/>
  <c r="G40" i="1"/>
  <c r="E48" i="12" s="1"/>
  <c r="G42" i="1"/>
  <c r="E51" i="12" s="1"/>
  <c r="G43" i="1"/>
  <c r="G45" i="1"/>
  <c r="E54" i="12" s="1"/>
  <c r="B1" i="1"/>
  <c r="J44" i="1"/>
  <c r="J43" i="1"/>
  <c r="J42" i="1"/>
  <c r="B32" i="1"/>
  <c r="B33" i="1"/>
  <c r="B34" i="1"/>
  <c r="K45" i="1"/>
  <c r="N32" i="1"/>
  <c r="N36" i="1"/>
  <c r="N37" i="1"/>
  <c r="N38" i="1"/>
  <c r="N39" i="1"/>
  <c r="N40" i="1"/>
  <c r="N41" i="1"/>
  <c r="N42" i="1"/>
  <c r="N43" i="1"/>
  <c r="N44" i="1"/>
  <c r="L45" i="1"/>
  <c r="N27" i="1"/>
  <c r="N26" i="1"/>
  <c r="N20" i="1"/>
  <c r="N21" i="1"/>
  <c r="N22" i="1"/>
  <c r="N23" i="1"/>
  <c r="N24" i="1"/>
  <c r="N25" i="1"/>
  <c r="L28" i="1"/>
  <c r="N15" i="1"/>
  <c r="N14" i="1"/>
  <c r="N3" i="1"/>
  <c r="N4" i="1"/>
  <c r="N16" i="1" s="1"/>
  <c r="N5" i="1"/>
  <c r="N6" i="1"/>
  <c r="N7" i="1"/>
  <c r="N8" i="1"/>
  <c r="N9" i="1"/>
  <c r="N10" i="1"/>
  <c r="N11" i="1"/>
  <c r="N12" i="1"/>
  <c r="N13" i="1"/>
  <c r="L16" i="1"/>
  <c r="N30" i="1"/>
  <c r="K105" i="4"/>
  <c r="J105" i="4"/>
  <c r="K92" i="4"/>
  <c r="J92" i="4"/>
  <c r="M27" i="4"/>
  <c r="L27" i="4"/>
  <c r="E92" i="4"/>
  <c r="E113" i="4"/>
  <c r="F52" i="4"/>
  <c r="F51" i="4"/>
  <c r="F50" i="4"/>
  <c r="F49" i="4"/>
  <c r="F48" i="4"/>
  <c r="F53" i="4" s="1"/>
  <c r="F47" i="4"/>
  <c r="F46" i="4"/>
  <c r="E93" i="4"/>
  <c r="E91" i="4"/>
  <c r="C34" i="4"/>
  <c r="C14" i="9"/>
  <c r="F45" i="4"/>
  <c r="D69" i="4"/>
  <c r="C15" i="9" s="1"/>
  <c r="E115" i="4"/>
  <c r="E112" i="4"/>
  <c r="E111" i="4"/>
  <c r="E110" i="4"/>
  <c r="E109" i="4"/>
  <c r="E105" i="4"/>
  <c r="E104" i="4"/>
  <c r="E103" i="4"/>
  <c r="E102" i="4"/>
  <c r="E100" i="4"/>
  <c r="E98" i="4"/>
  <c r="E97" i="4"/>
  <c r="E89" i="4"/>
  <c r="E87" i="4"/>
  <c r="E86" i="4"/>
  <c r="D53" i="4"/>
  <c r="E80" i="4"/>
  <c r="K27" i="4"/>
  <c r="J27" i="4"/>
  <c r="E101" i="4"/>
  <c r="E9" i="12"/>
  <c r="E13" i="12"/>
  <c r="E15" i="12"/>
  <c r="E17" i="12"/>
  <c r="E30" i="12"/>
  <c r="E49" i="12"/>
  <c r="E52" i="12"/>
  <c r="D8" i="12"/>
  <c r="C8" i="12" s="1"/>
  <c r="D9" i="12"/>
  <c r="F9" i="12" s="1"/>
  <c r="G9" i="12" s="1"/>
  <c r="D10" i="12"/>
  <c r="C10" i="12" s="1"/>
  <c r="D11" i="12"/>
  <c r="C11" i="12" s="1"/>
  <c r="D12" i="12"/>
  <c r="F12" i="12" s="1"/>
  <c r="G12" i="12" s="1"/>
  <c r="D13" i="12"/>
  <c r="C13" i="12" s="1"/>
  <c r="D14" i="12"/>
  <c r="C14" i="12" s="1"/>
  <c r="D15" i="12"/>
  <c r="C15" i="12" s="1"/>
  <c r="D16" i="12"/>
  <c r="C16" i="12" s="1"/>
  <c r="D17" i="12"/>
  <c r="C17" i="12" s="1"/>
  <c r="D18" i="12"/>
  <c r="C18" i="12" s="1"/>
  <c r="D19" i="12"/>
  <c r="F19" i="12" s="1"/>
  <c r="G19" i="12" s="1"/>
  <c r="D20" i="12"/>
  <c r="F20" i="12" s="1"/>
  <c r="G20" i="12" s="1"/>
  <c r="D22" i="12"/>
  <c r="C22" i="12" s="1"/>
  <c r="D24" i="12"/>
  <c r="C24" i="12" s="1"/>
  <c r="D26" i="12"/>
  <c r="D28" i="12"/>
  <c r="D30" i="12"/>
  <c r="F30" i="12" s="1"/>
  <c r="G30" i="12" s="1"/>
  <c r="D32" i="12"/>
  <c r="F32" i="12" s="1"/>
  <c r="G32" i="12" s="1"/>
  <c r="D33" i="12"/>
  <c r="C33" i="12" s="1"/>
  <c r="D34" i="12"/>
  <c r="C34" i="12" s="1"/>
  <c r="D35" i="12"/>
  <c r="C35" i="12" s="1"/>
  <c r="D36" i="12"/>
  <c r="C36" i="12" s="1"/>
  <c r="D37" i="12"/>
  <c r="C37" i="12" s="1"/>
  <c r="D38" i="12"/>
  <c r="C38" i="12" s="1"/>
  <c r="D39" i="12"/>
  <c r="D43" i="12"/>
  <c r="D44" i="12"/>
  <c r="D45" i="12"/>
  <c r="C45" i="12" s="1"/>
  <c r="D46" i="12"/>
  <c r="C46" i="12" s="1"/>
  <c r="D47" i="12"/>
  <c r="C47" i="12" s="1"/>
  <c r="D48" i="12"/>
  <c r="D49" i="12"/>
  <c r="D50" i="12"/>
  <c r="D51" i="12"/>
  <c r="C51" i="12" s="1"/>
  <c r="D52" i="12"/>
  <c r="C52" i="12" s="1"/>
  <c r="D54" i="12"/>
  <c r="F31" i="12"/>
  <c r="G31" i="12" s="1"/>
  <c r="F29" i="12"/>
  <c r="G29" i="12" s="1"/>
  <c r="F27" i="12"/>
  <c r="G27" i="12" s="1"/>
  <c r="F25" i="12"/>
  <c r="G25" i="12" s="1"/>
  <c r="F21" i="12"/>
  <c r="G21" i="12" s="1"/>
  <c r="C53" i="12"/>
  <c r="D41" i="12"/>
  <c r="C41" i="12" s="1"/>
  <c r="D40" i="12"/>
  <c r="C31" i="12"/>
  <c r="C29" i="12"/>
  <c r="C27" i="12"/>
  <c r="C25" i="12"/>
  <c r="C23" i="12"/>
  <c r="C21" i="12"/>
  <c r="F2" i="5"/>
  <c r="I52" i="5" s="1"/>
  <c r="L54" i="5"/>
  <c r="L53" i="5"/>
  <c r="B42" i="12"/>
  <c r="B3" i="12"/>
  <c r="F27" i="5"/>
  <c r="F25" i="5"/>
  <c r="F23" i="5"/>
  <c r="F20" i="5"/>
  <c r="F17" i="5"/>
  <c r="F21" i="5"/>
  <c r="L79" i="5"/>
  <c r="L69" i="5"/>
  <c r="L67" i="5"/>
  <c r="L73" i="5"/>
  <c r="F4" i="5"/>
  <c r="F3" i="5"/>
  <c r="F23" i="12"/>
  <c r="G23" i="12" s="1"/>
  <c r="F33" i="5"/>
  <c r="I83" i="5" s="1"/>
  <c r="F53" i="12"/>
  <c r="G53" i="12" s="1"/>
  <c r="L89" i="5"/>
  <c r="L88" i="5"/>
  <c r="L87" i="5"/>
  <c r="F37" i="5"/>
  <c r="L86" i="5"/>
  <c r="L85" i="5"/>
  <c r="L84" i="5"/>
  <c r="L83" i="5"/>
  <c r="L82" i="5"/>
  <c r="L81" i="5"/>
  <c r="F36" i="5"/>
  <c r="F35" i="5"/>
  <c r="I85" i="5" s="1"/>
  <c r="F34" i="5"/>
  <c r="I84" i="5" s="1"/>
  <c r="F32" i="5"/>
  <c r="I82" i="5" s="1"/>
  <c r="F31" i="5"/>
  <c r="I81" i="5" s="1"/>
  <c r="F29" i="5"/>
  <c r="F14" i="5"/>
  <c r="F15" i="5"/>
  <c r="I65" i="5"/>
  <c r="L2" i="5"/>
  <c r="F6" i="5"/>
  <c r="F13" i="5"/>
  <c r="I63" i="5" s="1"/>
  <c r="L80" i="5"/>
  <c r="L78" i="5"/>
  <c r="L76" i="5"/>
  <c r="L74" i="5"/>
  <c r="L68" i="5"/>
  <c r="L66" i="5"/>
  <c r="L62" i="5"/>
  <c r="L64" i="5"/>
  <c r="L65" i="5"/>
  <c r="L56" i="5"/>
  <c r="F8" i="5"/>
  <c r="F10" i="5"/>
  <c r="I60" i="5" s="1"/>
  <c r="F9" i="5"/>
  <c r="I59" i="5" s="1"/>
  <c r="L60" i="5"/>
  <c r="L58" i="5"/>
  <c r="F7" i="5"/>
  <c r="I57" i="5" s="1"/>
  <c r="F11" i="5"/>
  <c r="I61" i="5" s="1"/>
  <c r="F16" i="5"/>
  <c r="F18" i="5"/>
  <c r="F19" i="5"/>
  <c r="F22" i="5"/>
  <c r="F24" i="5"/>
  <c r="I74" i="5" s="1"/>
  <c r="F26" i="5"/>
  <c r="F28" i="5"/>
  <c r="I78" i="5" s="1"/>
  <c r="F30" i="5"/>
  <c r="F38" i="5"/>
  <c r="I88" i="5" s="1"/>
  <c r="F39" i="5"/>
  <c r="L57" i="5"/>
  <c r="L59" i="5"/>
  <c r="L63" i="5"/>
  <c r="L71" i="5"/>
  <c r="L72" i="5"/>
  <c r="D95" i="2"/>
  <c r="D127" i="2" s="1"/>
  <c r="D129" i="2" s="1"/>
  <c r="E92" i="2"/>
  <c r="E4" i="2" s="1"/>
  <c r="E55" i="2"/>
  <c r="D5" i="2" s="1"/>
  <c r="E93" i="2"/>
  <c r="E5" i="2" s="1"/>
  <c r="E56" i="2"/>
  <c r="D6" i="2" s="1"/>
  <c r="E94" i="2"/>
  <c r="E6" i="2" s="1"/>
  <c r="E96" i="2"/>
  <c r="E8" i="2"/>
  <c r="E97" i="2"/>
  <c r="E9" i="2"/>
  <c r="E98" i="2"/>
  <c r="E10" i="2"/>
  <c r="E58" i="2"/>
  <c r="D11" i="2" s="1"/>
  <c r="E99" i="2"/>
  <c r="E11" i="2" s="1"/>
  <c r="E100" i="2"/>
  <c r="E12" i="2" s="1"/>
  <c r="E59" i="2"/>
  <c r="D13" i="2" s="1"/>
  <c r="E101" i="2"/>
  <c r="E13" i="2"/>
  <c r="E60" i="2"/>
  <c r="D14" i="2" s="1"/>
  <c r="E102" i="2"/>
  <c r="E14" i="2" s="1"/>
  <c r="E104" i="2"/>
  <c r="E16" i="2" s="1"/>
  <c r="E105" i="2"/>
  <c r="E17" i="2"/>
  <c r="E106" i="2"/>
  <c r="E18" i="2"/>
  <c r="E107" i="2"/>
  <c r="E19" i="2" s="1"/>
  <c r="E108" i="2"/>
  <c r="E20" i="2"/>
  <c r="E109" i="2"/>
  <c r="E21" i="2" s="1"/>
  <c r="E110" i="2"/>
  <c r="E22" i="2"/>
  <c r="E111" i="2"/>
  <c r="E23" i="2" s="1"/>
  <c r="E112" i="2"/>
  <c r="E24" i="2" s="1"/>
  <c r="E113" i="2"/>
  <c r="E25" i="2" s="1"/>
  <c r="E114" i="2"/>
  <c r="E115" i="2"/>
  <c r="E116" i="2"/>
  <c r="E27" i="2" s="1"/>
  <c r="E117" i="2"/>
  <c r="E28" i="2" s="1"/>
  <c r="E118" i="2"/>
  <c r="E29" i="2" s="1"/>
  <c r="E119" i="2"/>
  <c r="E30" i="2" s="1"/>
  <c r="E120" i="2"/>
  <c r="E31" i="2" s="1"/>
  <c r="E121" i="2"/>
  <c r="E32" i="2" s="1"/>
  <c r="E122" i="2"/>
  <c r="E33" i="2" s="1"/>
  <c r="E123" i="2"/>
  <c r="E34" i="2" s="1"/>
  <c r="E124" i="2"/>
  <c r="E35" i="2" s="1"/>
  <c r="E125" i="2"/>
  <c r="E36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C50" i="2"/>
  <c r="C103" i="2"/>
  <c r="C95" i="2"/>
  <c r="C127" i="2" s="1"/>
  <c r="L3" i="5"/>
  <c r="L4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40" i="5" s="1"/>
  <c r="C55" i="5"/>
  <c r="C5" i="14" s="1"/>
  <c r="D2" i="18"/>
  <c r="C3" i="18"/>
  <c r="H4" i="18"/>
  <c r="H5" i="18"/>
  <c r="H6" i="18"/>
  <c r="H7" i="18"/>
  <c r="H8" i="18"/>
  <c r="H15" i="18" s="1"/>
  <c r="H25" i="18" s="1"/>
  <c r="H9" i="18"/>
  <c r="H10" i="18"/>
  <c r="H11" i="18"/>
  <c r="H12" i="18"/>
  <c r="H13" i="18"/>
  <c r="H14" i="18"/>
  <c r="H17" i="18"/>
  <c r="H24" i="18" s="1"/>
  <c r="H18" i="18"/>
  <c r="H19" i="18"/>
  <c r="H20" i="18"/>
  <c r="H21" i="18"/>
  <c r="H22" i="18"/>
  <c r="H23" i="18"/>
  <c r="D4" i="18"/>
  <c r="D5" i="18"/>
  <c r="D6" i="18"/>
  <c r="D7" i="18"/>
  <c r="D8" i="18"/>
  <c r="D9" i="18"/>
  <c r="D10" i="18"/>
  <c r="D11" i="18"/>
  <c r="D12" i="18"/>
  <c r="D13" i="18"/>
  <c r="D14" i="18"/>
  <c r="D17" i="18"/>
  <c r="D24" i="18" s="1"/>
  <c r="D18" i="18"/>
  <c r="D19" i="18"/>
  <c r="D20" i="18"/>
  <c r="D21" i="18"/>
  <c r="D22" i="18"/>
  <c r="D23" i="18"/>
  <c r="B3" i="6"/>
  <c r="C3" i="6" s="1"/>
  <c r="L17" i="6"/>
  <c r="L18" i="6"/>
  <c r="L19" i="6"/>
  <c r="L20" i="6"/>
  <c r="L21" i="6"/>
  <c r="L23" i="6"/>
  <c r="L24" i="6"/>
  <c r="L25" i="6"/>
  <c r="L26" i="6"/>
  <c r="L32" i="6"/>
  <c r="L30" i="6"/>
  <c r="L33" i="6"/>
  <c r="L34" i="6"/>
  <c r="K35" i="6"/>
  <c r="J35" i="6"/>
  <c r="L13" i="6"/>
  <c r="L10" i="6"/>
  <c r="F4" i="6"/>
  <c r="A2" i="6"/>
  <c r="K27" i="6"/>
  <c r="J27" i="6"/>
  <c r="F27" i="6"/>
  <c r="D26" i="6"/>
  <c r="L12" i="6"/>
  <c r="L7" i="6"/>
  <c r="L14" i="6" s="1"/>
  <c r="L6" i="6"/>
  <c r="L8" i="6"/>
  <c r="L9" i="6"/>
  <c r="L11" i="6"/>
  <c r="K14" i="6"/>
  <c r="K37" i="6"/>
  <c r="J14" i="6"/>
  <c r="F14" i="6"/>
  <c r="F37" i="6" s="1"/>
  <c r="D13" i="6"/>
  <c r="D12" i="6"/>
  <c r="D11" i="6"/>
  <c r="C45" i="6"/>
  <c r="B45" i="6"/>
  <c r="F35" i="6"/>
  <c r="G75" i="6"/>
  <c r="D75" i="6"/>
  <c r="C75" i="6"/>
  <c r="D43" i="6"/>
  <c r="C31" i="9" s="1"/>
  <c r="D32" i="6"/>
  <c r="D34" i="6"/>
  <c r="D33" i="6"/>
  <c r="D24" i="6"/>
  <c r="D23" i="6"/>
  <c r="D22" i="6"/>
  <c r="D21" i="6"/>
  <c r="D19" i="6"/>
  <c r="D17" i="6"/>
  <c r="D6" i="6"/>
  <c r="F39" i="8"/>
  <c r="L21" i="8"/>
  <c r="C17" i="8"/>
  <c r="C18" i="8" s="1"/>
  <c r="D1" i="8"/>
  <c r="L16" i="8"/>
  <c r="L15" i="8"/>
  <c r="L14" i="8"/>
  <c r="L13" i="8"/>
  <c r="L12" i="8"/>
  <c r="L11" i="8"/>
  <c r="L10" i="8"/>
  <c r="L9" i="8"/>
  <c r="L8" i="8"/>
  <c r="L7" i="8"/>
  <c r="L6" i="8"/>
  <c r="L5" i="8"/>
  <c r="L40" i="8"/>
  <c r="D39" i="8"/>
  <c r="C35" i="14" s="1"/>
  <c r="E39" i="8"/>
  <c r="C21" i="14" s="1"/>
  <c r="K20" i="8"/>
  <c r="B17" i="8"/>
  <c r="B81" i="5"/>
  <c r="H81" i="5" s="1"/>
  <c r="I87" i="5"/>
  <c r="H88" i="5"/>
  <c r="I69" i="5"/>
  <c r="I68" i="5"/>
  <c r="I67" i="5"/>
  <c r="F89" i="5"/>
  <c r="F88" i="5"/>
  <c r="F87" i="5"/>
  <c r="F66" i="5"/>
  <c r="F59" i="5"/>
  <c r="I72" i="5"/>
  <c r="I66" i="5"/>
  <c r="I76" i="5"/>
  <c r="I71" i="5"/>
  <c r="K5" i="5"/>
  <c r="C68" i="14" s="1"/>
  <c r="J5" i="5"/>
  <c r="J39" i="5" s="1"/>
  <c r="I5" i="5"/>
  <c r="I39" i="5" s="1"/>
  <c r="I64" i="5"/>
  <c r="F85" i="5"/>
  <c r="F84" i="5"/>
  <c r="F83" i="5"/>
  <c r="F82" i="5"/>
  <c r="H89" i="5"/>
  <c r="H87" i="5"/>
  <c r="C45" i="5"/>
  <c r="I77" i="5"/>
  <c r="I75" i="5"/>
  <c r="I73" i="5"/>
  <c r="I70" i="5"/>
  <c r="E40" i="5"/>
  <c r="E5" i="5"/>
  <c r="E41" i="5" s="1"/>
  <c r="D5" i="5"/>
  <c r="D40" i="5"/>
  <c r="D41" i="5" s="1"/>
  <c r="C5" i="5"/>
  <c r="C41" i="5" s="1"/>
  <c r="C40" i="5"/>
  <c r="I58" i="5"/>
  <c r="H65" i="5"/>
  <c r="H63" i="5"/>
  <c r="I89" i="5"/>
  <c r="I86" i="5"/>
  <c r="I80" i="5"/>
  <c r="I79" i="5"/>
  <c r="I56" i="5"/>
  <c r="I54" i="5"/>
  <c r="H80" i="5"/>
  <c r="H79" i="5"/>
  <c r="H70" i="5"/>
  <c r="H77" i="5"/>
  <c r="H75" i="5"/>
  <c r="H73" i="5"/>
  <c r="H62" i="5"/>
  <c r="H61" i="5"/>
  <c r="H59" i="5"/>
  <c r="H56" i="5"/>
  <c r="H54" i="5"/>
  <c r="H53" i="5"/>
  <c r="H52" i="5"/>
  <c r="F52" i="5"/>
  <c r="F53" i="5"/>
  <c r="F54" i="5"/>
  <c r="F55" i="5" s="1"/>
  <c r="C7" i="14" s="1"/>
  <c r="D55" i="5"/>
  <c r="E55" i="5"/>
  <c r="L41" i="5"/>
  <c r="L42" i="5"/>
  <c r="H9" i="16"/>
  <c r="G9" i="16"/>
  <c r="E1" i="16"/>
  <c r="C1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H18" i="16"/>
  <c r="G18" i="16"/>
  <c r="H17" i="16"/>
  <c r="G17" i="16"/>
  <c r="H16" i="16"/>
  <c r="G16" i="16"/>
  <c r="H33" i="16"/>
  <c r="G33" i="16"/>
  <c r="H32" i="16"/>
  <c r="G32" i="16"/>
  <c r="H31" i="16"/>
  <c r="G31" i="16"/>
  <c r="H30" i="16"/>
  <c r="G30" i="16"/>
  <c r="H29" i="16"/>
  <c r="G29" i="16"/>
  <c r="H12" i="16"/>
  <c r="G12" i="16"/>
  <c r="H11" i="16"/>
  <c r="G11" i="16"/>
  <c r="H10" i="16"/>
  <c r="G10" i="16"/>
  <c r="H8" i="16"/>
  <c r="G8" i="16"/>
  <c r="H7" i="16"/>
  <c r="G7" i="16"/>
  <c r="H6" i="16"/>
  <c r="G6" i="16"/>
  <c r="D33" i="16"/>
  <c r="C33" i="16"/>
  <c r="D32" i="16"/>
  <c r="C32" i="16"/>
  <c r="D31" i="16"/>
  <c r="C31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8" i="16"/>
  <c r="C18" i="16"/>
  <c r="D17" i="16"/>
  <c r="C17" i="16"/>
  <c r="D12" i="16"/>
  <c r="C12" i="16"/>
  <c r="D11" i="16"/>
  <c r="C11" i="16"/>
  <c r="D10" i="16"/>
  <c r="C10" i="16"/>
  <c r="D8" i="16"/>
  <c r="C8" i="16"/>
  <c r="D6" i="16"/>
  <c r="C6" i="16"/>
  <c r="D5" i="16"/>
  <c r="C5" i="16"/>
  <c r="G5" i="16"/>
  <c r="H5" i="16"/>
  <c r="D2" i="9"/>
  <c r="E1" i="9"/>
  <c r="D1" i="15"/>
  <c r="C44" i="15"/>
  <c r="C46" i="15"/>
  <c r="C1" i="15"/>
  <c r="C1" i="14"/>
  <c r="C44" i="14"/>
  <c r="C37" i="14"/>
  <c r="C17" i="14"/>
  <c r="I62" i="5"/>
  <c r="F40" i="5"/>
  <c r="I46" i="5" s="1"/>
  <c r="E32" i="12"/>
  <c r="E24" i="12"/>
  <c r="E20" i="12"/>
  <c r="E18" i="12"/>
  <c r="E12" i="12"/>
  <c r="E10" i="12"/>
  <c r="E8" i="12"/>
  <c r="G18" i="8"/>
  <c r="I53" i="5"/>
  <c r="L105" i="4"/>
  <c r="E26" i="2"/>
  <c r="D30" i="6"/>
  <c r="F8" i="12"/>
  <c r="G8" i="12" s="1"/>
  <c r="C28" i="12"/>
  <c r="C30" i="12"/>
  <c r="C28" i="9"/>
  <c r="E41" i="12"/>
  <c r="C36" i="9"/>
  <c r="C22" i="9"/>
  <c r="C35" i="9"/>
  <c r="D30" i="16"/>
  <c r="D114" i="4"/>
  <c r="D99" i="4"/>
  <c r="D106" i="4" s="1"/>
  <c r="D26" i="16" s="1"/>
  <c r="L52" i="5"/>
  <c r="L55" i="5" s="1"/>
  <c r="M89" i="5" s="1"/>
  <c r="C35" i="15"/>
  <c r="M90" i="5"/>
  <c r="K50" i="2"/>
  <c r="D34" i="16"/>
  <c r="F45" i="12"/>
  <c r="G45" i="12" s="1"/>
  <c r="C39" i="12"/>
  <c r="D6" i="1"/>
  <c r="D46" i="1" s="1"/>
  <c r="C54" i="12"/>
  <c r="C9" i="12"/>
  <c r="C29" i="15"/>
  <c r="D25" i="6"/>
  <c r="G13" i="16"/>
  <c r="D14" i="6"/>
  <c r="F16" i="12"/>
  <c r="G16" i="12" s="1"/>
  <c r="F18" i="12"/>
  <c r="G18" i="12" s="1"/>
  <c r="C72" i="14"/>
  <c r="K39" i="5"/>
  <c r="F8" i="2"/>
  <c r="F10" i="12"/>
  <c r="G10" i="12" s="1"/>
  <c r="C49" i="12"/>
  <c r="C40" i="12"/>
  <c r="C48" i="12"/>
  <c r="C43" i="12"/>
  <c r="C32" i="12"/>
  <c r="F41" i="12"/>
  <c r="G41" i="12" s="1"/>
  <c r="J41" i="12" s="1"/>
  <c r="E103" i="2"/>
  <c r="F22" i="2"/>
  <c r="F1" i="14" l="1"/>
  <c r="C76" i="14"/>
  <c r="D76" i="14" s="1"/>
  <c r="E76" i="14" s="1"/>
  <c r="F76" i="14" s="1"/>
  <c r="G76" i="14" s="1"/>
  <c r="H76" i="14" s="1"/>
  <c r="E33" i="12"/>
  <c r="F33" i="12"/>
  <c r="G33" i="12" s="1"/>
  <c r="F12" i="2"/>
  <c r="F36" i="12"/>
  <c r="G36" i="12" s="1"/>
  <c r="K36" i="12" s="1"/>
  <c r="E36" i="12"/>
  <c r="F19" i="2"/>
  <c r="C34" i="15" s="1"/>
  <c r="E127" i="2"/>
  <c r="F14" i="12"/>
  <c r="G14" i="12" s="1"/>
  <c r="F54" i="12"/>
  <c r="G54" i="12" s="1"/>
  <c r="G3" i="1"/>
  <c r="E4" i="12" s="1"/>
  <c r="L5" i="5"/>
  <c r="C69" i="14" s="1"/>
  <c r="A37" i="12"/>
  <c r="E15" i="2"/>
  <c r="C20" i="12"/>
  <c r="D42" i="12"/>
  <c r="D55" i="12" s="1"/>
  <c r="J89" i="4" s="1"/>
  <c r="C19" i="9"/>
  <c r="F51" i="12"/>
  <c r="G51" i="12" s="1"/>
  <c r="C16" i="15" s="1"/>
  <c r="C45" i="14"/>
  <c r="H84" i="5"/>
  <c r="J37" i="6"/>
  <c r="F25" i="2"/>
  <c r="C38" i="15" s="1"/>
  <c r="A35" i="12"/>
  <c r="H82" i="5"/>
  <c r="F47" i="12"/>
  <c r="G47" i="12" s="1"/>
  <c r="L17" i="8"/>
  <c r="M91" i="5"/>
  <c r="M92" i="5" s="1"/>
  <c r="F44" i="12"/>
  <c r="G44" i="12" s="1"/>
  <c r="F22" i="12"/>
  <c r="G22" i="12" s="1"/>
  <c r="K22" i="12" s="1"/>
  <c r="C5" i="2"/>
  <c r="L23" i="8"/>
  <c r="E43" i="12"/>
  <c r="E95" i="2"/>
  <c r="F50" i="12"/>
  <c r="G50" i="12" s="1"/>
  <c r="C18" i="15" s="1"/>
  <c r="C114" i="4"/>
  <c r="C34" i="16" s="1"/>
  <c r="L19" i="8"/>
  <c r="M19" i="8" s="1"/>
  <c r="K31" i="12"/>
  <c r="B37" i="6"/>
  <c r="B47" i="6" s="1"/>
  <c r="F40" i="12"/>
  <c r="G40" i="12" s="1"/>
  <c r="E114" i="4"/>
  <c r="N45" i="1"/>
  <c r="F41" i="8"/>
  <c r="L35" i="6"/>
  <c r="D19" i="16"/>
  <c r="C43" i="2"/>
  <c r="F43" i="2" s="1"/>
  <c r="J25" i="12"/>
  <c r="F28" i="12"/>
  <c r="G28" i="12" s="1"/>
  <c r="K28" i="12" s="1"/>
  <c r="N28" i="1"/>
  <c r="M43" i="2"/>
  <c r="N43" i="2" s="1"/>
  <c r="E50" i="12"/>
  <c r="D7" i="12"/>
  <c r="C12" i="12"/>
  <c r="D15" i="18"/>
  <c r="D25" i="18" s="1"/>
  <c r="C11" i="14"/>
  <c r="C4" i="2"/>
  <c r="F4" i="2" s="1"/>
  <c r="C20" i="9"/>
  <c r="E23" i="9" s="1"/>
  <c r="G24" i="9" s="1"/>
  <c r="C8" i="9"/>
  <c r="E10" i="9" s="1"/>
  <c r="E61" i="2"/>
  <c r="F48" i="12"/>
  <c r="G48" i="12" s="1"/>
  <c r="F26" i="12"/>
  <c r="G26" i="12" s="1"/>
  <c r="J26" i="12" s="1"/>
  <c r="F20" i="2"/>
  <c r="C25" i="15" s="1"/>
  <c r="A33" i="12"/>
  <c r="C44" i="12"/>
  <c r="C26" i="12"/>
  <c r="C19" i="12"/>
  <c r="F15" i="12"/>
  <c r="G15" i="12" s="1"/>
  <c r="J15" i="12" s="1"/>
  <c r="D2" i="1"/>
  <c r="C90" i="4"/>
  <c r="C9" i="16" s="1"/>
  <c r="F24" i="2"/>
  <c r="C37" i="15" s="1"/>
  <c r="F26" i="2"/>
  <c r="C39" i="15" s="1"/>
  <c r="F13" i="2"/>
  <c r="F14" i="2"/>
  <c r="F11" i="2"/>
  <c r="D87" i="2"/>
  <c r="J93" i="4"/>
  <c r="J94" i="4" s="1"/>
  <c r="C9" i="14"/>
  <c r="O15" i="8"/>
  <c r="E99" i="4"/>
  <c r="C19" i="16"/>
  <c r="F38" i="4"/>
  <c r="C106" i="4"/>
  <c r="C26" i="16" s="1"/>
  <c r="P29" i="12"/>
  <c r="B55" i="12"/>
  <c r="C42" i="14" s="1"/>
  <c r="C5" i="12"/>
  <c r="C7" i="12" s="1"/>
  <c r="C15" i="2"/>
  <c r="C50" i="12"/>
  <c r="F5" i="5"/>
  <c r="I45" i="5" s="1"/>
  <c r="D35" i="6"/>
  <c r="D31" i="6"/>
  <c r="G19" i="16"/>
  <c r="D20" i="6"/>
  <c r="D27" i="6"/>
  <c r="C37" i="6"/>
  <c r="D18" i="6"/>
  <c r="L27" i="6"/>
  <c r="C88" i="4"/>
  <c r="C94" i="4" s="1"/>
  <c r="D47" i="1"/>
  <c r="C74" i="14"/>
  <c r="G36" i="16"/>
  <c r="G43" i="9"/>
  <c r="L21" i="12"/>
  <c r="K21" i="12"/>
  <c r="J21" i="12"/>
  <c r="K41" i="12"/>
  <c r="E1" i="14"/>
  <c r="F17" i="12"/>
  <c r="G17" i="12" s="1"/>
  <c r="F11" i="12"/>
  <c r="G11" i="12" s="1"/>
  <c r="F52" i="12"/>
  <c r="G52" i="12" s="1"/>
  <c r="C17" i="15" s="1"/>
  <c r="F13" i="12"/>
  <c r="G13" i="12" s="1"/>
  <c r="C2" i="1"/>
  <c r="F46" i="12"/>
  <c r="G46" i="12" s="1"/>
  <c r="C14" i="15" s="1"/>
  <c r="C129" i="2"/>
  <c r="F36" i="2"/>
  <c r="F34" i="2"/>
  <c r="F32" i="2"/>
  <c r="E7" i="2"/>
  <c r="E37" i="12"/>
  <c r="F37" i="12"/>
  <c r="G37" i="12" s="1"/>
  <c r="E35" i="12"/>
  <c r="F35" i="12"/>
  <c r="G35" i="12" s="1"/>
  <c r="J35" i="12" s="1"/>
  <c r="F6" i="12"/>
  <c r="G6" i="12" s="1"/>
  <c r="L6" i="12" s="1"/>
  <c r="E6" i="12"/>
  <c r="D15" i="2"/>
  <c r="F17" i="2"/>
  <c r="F23" i="2"/>
  <c r="F28" i="2"/>
  <c r="F33" i="2"/>
  <c r="F37" i="2"/>
  <c r="F6" i="2"/>
  <c r="C7" i="2"/>
  <c r="P16" i="2" s="1"/>
  <c r="P18" i="2" s="1"/>
  <c r="K93" i="4"/>
  <c r="K94" i="4" s="1"/>
  <c r="E84" i="2"/>
  <c r="C87" i="2"/>
  <c r="L39" i="5"/>
  <c r="F35" i="2"/>
  <c r="F31" i="2"/>
  <c r="F29" i="2"/>
  <c r="F27" i="2"/>
  <c r="F16" i="2"/>
  <c r="D7" i="2"/>
  <c r="E34" i="12"/>
  <c r="F34" i="12"/>
  <c r="G34" i="12" s="1"/>
  <c r="J34" i="12" s="1"/>
  <c r="G4" i="1"/>
  <c r="G6" i="1" s="1"/>
  <c r="G46" i="1" s="1"/>
  <c r="F6" i="1"/>
  <c r="F18" i="2"/>
  <c r="F30" i="2"/>
  <c r="C27" i="15"/>
  <c r="F21" i="2"/>
  <c r="K25" i="12"/>
  <c r="J31" i="12"/>
  <c r="E17" i="9"/>
  <c r="F9" i="2"/>
  <c r="F4" i="12"/>
  <c r="M55" i="5"/>
  <c r="F5" i="2"/>
  <c r="L92" i="5"/>
  <c r="K8" i="2" s="1"/>
  <c r="F39" i="12"/>
  <c r="G39" i="12" s="1"/>
  <c r="F10" i="2"/>
  <c r="J36" i="12"/>
  <c r="L14" i="12"/>
  <c r="K14" i="12"/>
  <c r="J14" i="12"/>
  <c r="J24" i="12"/>
  <c r="K24" i="12"/>
  <c r="K33" i="12"/>
  <c r="J33" i="12"/>
  <c r="K15" i="12"/>
  <c r="J17" i="12"/>
  <c r="K17" i="12"/>
  <c r="D1" i="14"/>
  <c r="F38" i="12"/>
  <c r="G38" i="12" s="1"/>
  <c r="K40" i="12"/>
  <c r="J40" i="12"/>
  <c r="K10" i="12"/>
  <c r="L10" i="12"/>
  <c r="J10" i="12"/>
  <c r="L18" i="12"/>
  <c r="J18" i="12"/>
  <c r="K18" i="12"/>
  <c r="C10" i="15"/>
  <c r="C15" i="15"/>
  <c r="J8" i="12"/>
  <c r="K8" i="12"/>
  <c r="C8" i="15"/>
  <c r="L8" i="12"/>
  <c r="C6" i="15"/>
  <c r="K27" i="12"/>
  <c r="J27" i="12"/>
  <c r="J32" i="12"/>
  <c r="K32" i="12"/>
  <c r="L9" i="12"/>
  <c r="K9" i="12"/>
  <c r="J9" i="12"/>
  <c r="C42" i="12"/>
  <c r="L20" i="12"/>
  <c r="J20" i="12"/>
  <c r="K20" i="12"/>
  <c r="J16" i="12"/>
  <c r="L16" i="12"/>
  <c r="K16" i="12"/>
  <c r="K11" i="12"/>
  <c r="K6" i="12"/>
  <c r="J6" i="12"/>
  <c r="K23" i="12"/>
  <c r="J23" i="12"/>
  <c r="J29" i="12"/>
  <c r="K29" i="12"/>
  <c r="K30" i="12"/>
  <c r="J30" i="12"/>
  <c r="J28" i="12"/>
  <c r="C9" i="15"/>
  <c r="J19" i="12"/>
  <c r="K19" i="12"/>
  <c r="L19" i="12"/>
  <c r="K12" i="12"/>
  <c r="L12" i="12"/>
  <c r="J12" i="12"/>
  <c r="K34" i="12"/>
  <c r="G4" i="12"/>
  <c r="D88" i="4"/>
  <c r="F7" i="2" l="1"/>
  <c r="J7" i="2" s="1"/>
  <c r="F42" i="12"/>
  <c r="G42" i="12" s="1"/>
  <c r="K26" i="12"/>
  <c r="C5" i="9"/>
  <c r="J22" i="12"/>
  <c r="I44" i="5"/>
  <c r="C12" i="14" s="1"/>
  <c r="L15" i="12"/>
  <c r="K35" i="12"/>
  <c r="J11" i="12"/>
  <c r="E42" i="12"/>
  <c r="C27" i="9"/>
  <c r="J13" i="12"/>
  <c r="E38" i="2"/>
  <c r="L41" i="8"/>
  <c r="C61" i="14" s="1"/>
  <c r="F15" i="2"/>
  <c r="D58" i="12"/>
  <c r="D59" i="12" s="1"/>
  <c r="K13" i="12"/>
  <c r="L11" i="12"/>
  <c r="C5" i="15"/>
  <c r="B47" i="1"/>
  <c r="D48" i="1" s="1"/>
  <c r="C55" i="12"/>
  <c r="G57" i="12"/>
  <c r="I24" i="2"/>
  <c r="I5" i="2"/>
  <c r="I43" i="5"/>
  <c r="H9" i="2" s="1"/>
  <c r="D39" i="16"/>
  <c r="I20" i="2"/>
  <c r="N15" i="8"/>
  <c r="O18" i="8"/>
  <c r="E106" i="4"/>
  <c r="C56" i="12"/>
  <c r="C4" i="9"/>
  <c r="L13" i="12"/>
  <c r="K9" i="2"/>
  <c r="M9" i="2" s="1"/>
  <c r="K6" i="2"/>
  <c r="K4" i="2"/>
  <c r="N4" i="2" s="1"/>
  <c r="K5" i="2"/>
  <c r="M5" i="2" s="1"/>
  <c r="I6" i="2"/>
  <c r="H5" i="2"/>
  <c r="H6" i="2"/>
  <c r="H10" i="2"/>
  <c r="H43" i="2"/>
  <c r="I43" i="2"/>
  <c r="I9" i="2"/>
  <c r="I22" i="2"/>
  <c r="C6" i="14"/>
  <c r="I55" i="5"/>
  <c r="F41" i="5"/>
  <c r="C57" i="14" s="1"/>
  <c r="I25" i="2"/>
  <c r="C39" i="16"/>
  <c r="C47" i="6"/>
  <c r="C26" i="14"/>
  <c r="L44" i="6"/>
  <c r="D37" i="6"/>
  <c r="L45" i="6" s="1"/>
  <c r="C30" i="14"/>
  <c r="E14" i="6"/>
  <c r="E35" i="6"/>
  <c r="E27" i="6"/>
  <c r="C34" i="9"/>
  <c r="L37" i="6"/>
  <c r="C47" i="14" s="1"/>
  <c r="D38" i="2"/>
  <c r="J88" i="4"/>
  <c r="J90" i="4" s="1"/>
  <c r="C7" i="16"/>
  <c r="C116" i="4"/>
  <c r="B39" i="6" s="1"/>
  <c r="C13" i="16"/>
  <c r="C36" i="16" s="1"/>
  <c r="G38" i="16" s="1"/>
  <c r="C38" i="16" s="1"/>
  <c r="I10" i="2"/>
  <c r="K10" i="2"/>
  <c r="L10" i="2" s="1"/>
  <c r="L17" i="12"/>
  <c r="G6" i="5"/>
  <c r="G7" i="5"/>
  <c r="G21" i="5"/>
  <c r="G11" i="5"/>
  <c r="G30" i="5"/>
  <c r="G29" i="5"/>
  <c r="G15" i="5"/>
  <c r="G23" i="5"/>
  <c r="G27" i="5"/>
  <c r="G19" i="5"/>
  <c r="G24" i="5"/>
  <c r="H39" i="2"/>
  <c r="G14" i="5"/>
  <c r="G9" i="5"/>
  <c r="G5" i="5"/>
  <c r="G22" i="5"/>
  <c r="G12" i="5"/>
  <c r="G26" i="5"/>
  <c r="G1" i="15"/>
  <c r="G38" i="15" s="1"/>
  <c r="G20" i="5"/>
  <c r="C3" i="14"/>
  <c r="C62" i="14" s="1"/>
  <c r="H13" i="2"/>
  <c r="H25" i="2"/>
  <c r="G16" i="5"/>
  <c r="G10" i="5"/>
  <c r="H19" i="2"/>
  <c r="G28" i="5"/>
  <c r="K21" i="2"/>
  <c r="I21" i="2"/>
  <c r="H21" i="2"/>
  <c r="C26" i="15"/>
  <c r="H30" i="2"/>
  <c r="K30" i="2"/>
  <c r="I30" i="2"/>
  <c r="K18" i="2"/>
  <c r="C33" i="15"/>
  <c r="H18" i="2"/>
  <c r="I18" i="2"/>
  <c r="F46" i="1"/>
  <c r="E5" i="12"/>
  <c r="E7" i="12" s="1"/>
  <c r="E55" i="12" s="1"/>
  <c r="F5" i="12"/>
  <c r="G5" i="12" s="1"/>
  <c r="K16" i="2"/>
  <c r="C31" i="15"/>
  <c r="I16" i="2"/>
  <c r="C38" i="2"/>
  <c r="C56" i="14"/>
  <c r="P15" i="2"/>
  <c r="K37" i="2"/>
  <c r="H37" i="2"/>
  <c r="C53" i="15"/>
  <c r="I37" i="2"/>
  <c r="C49" i="15"/>
  <c r="K33" i="2"/>
  <c r="H33" i="2"/>
  <c r="I33" i="2"/>
  <c r="H28" i="2"/>
  <c r="K28" i="2"/>
  <c r="C41" i="15"/>
  <c r="I28" i="2"/>
  <c r="K23" i="2"/>
  <c r="H23" i="2"/>
  <c r="C28" i="15"/>
  <c r="I23" i="2"/>
  <c r="C32" i="15"/>
  <c r="I17" i="2"/>
  <c r="K17" i="2"/>
  <c r="H17" i="2"/>
  <c r="K37" i="12"/>
  <c r="J37" i="12"/>
  <c r="H4" i="2"/>
  <c r="I4" i="2"/>
  <c r="H32" i="2"/>
  <c r="C48" i="15"/>
  <c r="K32" i="2"/>
  <c r="I32" i="2"/>
  <c r="K34" i="2"/>
  <c r="I34" i="2"/>
  <c r="C50" i="15"/>
  <c r="H8" i="2"/>
  <c r="H26" i="2"/>
  <c r="H24" i="2"/>
  <c r="H22" i="2"/>
  <c r="K12" i="2"/>
  <c r="K39" i="2"/>
  <c r="K41" i="2"/>
  <c r="K13" i="2"/>
  <c r="K14" i="2"/>
  <c r="H1" i="15"/>
  <c r="H37" i="15" s="1"/>
  <c r="K19" i="2"/>
  <c r="K40" i="2"/>
  <c r="K11" i="2"/>
  <c r="K43" i="2"/>
  <c r="L43" i="2" s="1"/>
  <c r="K24" i="2"/>
  <c r="K26" i="2"/>
  <c r="K20" i="2"/>
  <c r="E58" i="12"/>
  <c r="F58" i="12" s="1"/>
  <c r="G47" i="1"/>
  <c r="C40" i="15"/>
  <c r="K27" i="2"/>
  <c r="I27" i="2"/>
  <c r="H27" i="2"/>
  <c r="C43" i="15"/>
  <c r="H29" i="2"/>
  <c r="I29" i="2"/>
  <c r="K29" i="2"/>
  <c r="C45" i="15"/>
  <c r="I31" i="2"/>
  <c r="K31" i="2"/>
  <c r="K35" i="2"/>
  <c r="H35" i="2"/>
  <c r="C51" i="15"/>
  <c r="I35" i="2"/>
  <c r="I39" i="2"/>
  <c r="I47" i="5"/>
  <c r="J18" i="2" s="1"/>
  <c r="I8" i="2"/>
  <c r="I26" i="2"/>
  <c r="I14" i="2"/>
  <c r="I11" i="2"/>
  <c r="I13" i="2"/>
  <c r="I19" i="2"/>
  <c r="I12" i="2"/>
  <c r="I41" i="2"/>
  <c r="L43" i="6"/>
  <c r="I40" i="2"/>
  <c r="C4" i="14"/>
  <c r="C63" i="14" s="1"/>
  <c r="D13" i="7"/>
  <c r="C52" i="15"/>
  <c r="H36" i="2"/>
  <c r="I36" i="2"/>
  <c r="K36" i="2"/>
  <c r="G37" i="15"/>
  <c r="H14" i="2"/>
  <c r="K25" i="2"/>
  <c r="K22" i="2"/>
  <c r="M4" i="2"/>
  <c r="N9" i="2"/>
  <c r="J38" i="12"/>
  <c r="K38" i="12"/>
  <c r="N8" i="2"/>
  <c r="L8" i="2"/>
  <c r="M8" i="2"/>
  <c r="E6" i="9"/>
  <c r="G11" i="9" s="1"/>
  <c r="N10" i="2"/>
  <c r="H15" i="2"/>
  <c r="K15" i="2"/>
  <c r="I15" i="2"/>
  <c r="C11" i="15"/>
  <c r="L5" i="2"/>
  <c r="K4" i="12"/>
  <c r="J4" i="12"/>
  <c r="C4" i="15"/>
  <c r="L4" i="12"/>
  <c r="K39" i="12"/>
  <c r="J39" i="12"/>
  <c r="K7" i="2"/>
  <c r="H7" i="2"/>
  <c r="I7" i="2"/>
  <c r="D23" i="15"/>
  <c r="F38" i="2"/>
  <c r="C59" i="14" s="1"/>
  <c r="N6" i="12"/>
  <c r="N6" i="2"/>
  <c r="M6" i="2"/>
  <c r="L6" i="2"/>
  <c r="D19" i="15"/>
  <c r="E88" i="4"/>
  <c r="D7" i="16"/>
  <c r="L9" i="2" l="1"/>
  <c r="H31" i="2"/>
  <c r="H41" i="2"/>
  <c r="G18" i="5"/>
  <c r="G13" i="5"/>
  <c r="G8" i="5"/>
  <c r="N5" i="2"/>
  <c r="D42" i="15"/>
  <c r="H20" i="2"/>
  <c r="G27" i="15"/>
  <c r="H34" i="2"/>
  <c r="H16" i="2"/>
  <c r="G17" i="5"/>
  <c r="H12" i="2"/>
  <c r="H11" i="2"/>
  <c r="H40" i="2"/>
  <c r="G25" i="5"/>
  <c r="E32" i="9"/>
  <c r="H27" i="15"/>
  <c r="J15" i="2"/>
  <c r="M10" i="2"/>
  <c r="L4" i="2"/>
  <c r="C49" i="9"/>
  <c r="J49" i="9" s="1"/>
  <c r="L46" i="6"/>
  <c r="C58" i="14"/>
  <c r="L42" i="6"/>
  <c r="E37" i="9"/>
  <c r="F7" i="12"/>
  <c r="G52" i="15"/>
  <c r="H52" i="15"/>
  <c r="M31" i="2"/>
  <c r="L31" i="2"/>
  <c r="N31" i="2"/>
  <c r="H45" i="15"/>
  <c r="G45" i="15"/>
  <c r="H40" i="15"/>
  <c r="G40" i="15"/>
  <c r="N26" i="2"/>
  <c r="L26" i="2"/>
  <c r="M26" i="2"/>
  <c r="N40" i="2"/>
  <c r="L40" i="2"/>
  <c r="M40" i="2"/>
  <c r="H39" i="15"/>
  <c r="H35" i="15"/>
  <c r="H29" i="15"/>
  <c r="H25" i="15"/>
  <c r="H46" i="15"/>
  <c r="H44" i="15"/>
  <c r="H34" i="15"/>
  <c r="M13" i="2"/>
  <c r="L13" i="2"/>
  <c r="N13" i="2"/>
  <c r="M39" i="2"/>
  <c r="L39" i="2"/>
  <c r="N39" i="2"/>
  <c r="G50" i="15"/>
  <c r="H50" i="15"/>
  <c r="L34" i="2"/>
  <c r="N34" i="2"/>
  <c r="M34" i="2"/>
  <c r="G48" i="15"/>
  <c r="D54" i="15"/>
  <c r="H48" i="15"/>
  <c r="G32" i="15"/>
  <c r="H32" i="15"/>
  <c r="H28" i="15"/>
  <c r="G28" i="15"/>
  <c r="G41" i="15"/>
  <c r="H41" i="15"/>
  <c r="G53" i="15"/>
  <c r="H53" i="15"/>
  <c r="L37" i="2"/>
  <c r="M37" i="2"/>
  <c r="N37" i="2"/>
  <c r="H31" i="15"/>
  <c r="G31" i="15"/>
  <c r="D36" i="15"/>
  <c r="L5" i="12"/>
  <c r="C7" i="15"/>
  <c r="I1" i="15" s="1"/>
  <c r="I19" i="15" s="1"/>
  <c r="K5" i="12"/>
  <c r="J5" i="12"/>
  <c r="L18" i="2"/>
  <c r="N18" i="2"/>
  <c r="M18" i="2"/>
  <c r="G43" i="15"/>
  <c r="G46" i="15"/>
  <c r="G44" i="15"/>
  <c r="G39" i="15"/>
  <c r="G25" i="15"/>
  <c r="G29" i="15"/>
  <c r="G35" i="15"/>
  <c r="G34" i="15"/>
  <c r="J36" i="2"/>
  <c r="J35" i="2"/>
  <c r="J31" i="2"/>
  <c r="J29" i="2"/>
  <c r="J27" i="2"/>
  <c r="J17" i="2"/>
  <c r="J28" i="2"/>
  <c r="J33" i="2"/>
  <c r="L22" i="2"/>
  <c r="N22" i="2"/>
  <c r="M22" i="2"/>
  <c r="L25" i="2"/>
  <c r="M25" i="2"/>
  <c r="N25" i="2"/>
  <c r="G42" i="15"/>
  <c r="H42" i="15"/>
  <c r="M36" i="2"/>
  <c r="N36" i="2"/>
  <c r="L36" i="2"/>
  <c r="J19" i="2"/>
  <c r="J13" i="2"/>
  <c r="C46" i="5"/>
  <c r="C47" i="5" s="1"/>
  <c r="J40" i="2"/>
  <c r="J11" i="2"/>
  <c r="J12" i="2"/>
  <c r="J14" i="2"/>
  <c r="J8" i="2"/>
  <c r="J26" i="2"/>
  <c r="J39" i="2"/>
  <c r="J41" i="2"/>
  <c r="J22" i="2"/>
  <c r="J24" i="2"/>
  <c r="J43" i="2"/>
  <c r="J5" i="2"/>
  <c r="J20" i="2"/>
  <c r="J25" i="2"/>
  <c r="J9" i="2"/>
  <c r="J10" i="2"/>
  <c r="J6" i="2"/>
  <c r="G51" i="15"/>
  <c r="H51" i="15"/>
  <c r="L35" i="2"/>
  <c r="N35" i="2"/>
  <c r="M35" i="2"/>
  <c r="L29" i="2"/>
  <c r="M29" i="2"/>
  <c r="N29" i="2"/>
  <c r="D47" i="15"/>
  <c r="H43" i="15"/>
  <c r="N27" i="2"/>
  <c r="L27" i="2"/>
  <c r="M27" i="2"/>
  <c r="N20" i="2"/>
  <c r="L20" i="2"/>
  <c r="M20" i="2"/>
  <c r="N24" i="2"/>
  <c r="M24" i="2"/>
  <c r="L24" i="2"/>
  <c r="N11" i="2"/>
  <c r="L11" i="2"/>
  <c r="M11" i="2"/>
  <c r="L19" i="2"/>
  <c r="M19" i="2"/>
  <c r="N19" i="2"/>
  <c r="M14" i="2"/>
  <c r="N14" i="2"/>
  <c r="L14" i="2"/>
  <c r="L41" i="2"/>
  <c r="M41" i="2"/>
  <c r="N41" i="2"/>
  <c r="N12" i="2"/>
  <c r="L12" i="2"/>
  <c r="M12" i="2"/>
  <c r="M32" i="2"/>
  <c r="N32" i="2"/>
  <c r="L32" i="2"/>
  <c r="M17" i="2"/>
  <c r="N17" i="2"/>
  <c r="L17" i="2"/>
  <c r="N23" i="2"/>
  <c r="M23" i="2"/>
  <c r="L23" i="2"/>
  <c r="N28" i="2"/>
  <c r="M28" i="2"/>
  <c r="L28" i="2"/>
  <c r="M33" i="2"/>
  <c r="N33" i="2"/>
  <c r="L33" i="2"/>
  <c r="G49" i="15"/>
  <c r="H49" i="15"/>
  <c r="C43" i="14"/>
  <c r="C46" i="14" s="1"/>
  <c r="C48" i="14" s="1"/>
  <c r="C42" i="2"/>
  <c r="N16" i="2"/>
  <c r="L16" i="2"/>
  <c r="M16" i="2"/>
  <c r="K89" i="4"/>
  <c r="E59" i="12"/>
  <c r="D90" i="4"/>
  <c r="H33" i="15"/>
  <c r="G33" i="15"/>
  <c r="M30" i="2"/>
  <c r="N30" i="2"/>
  <c r="L30" i="2"/>
  <c r="G26" i="15"/>
  <c r="D30" i="15"/>
  <c r="H26" i="15"/>
  <c r="N21" i="2"/>
  <c r="M21" i="2"/>
  <c r="L21" i="2"/>
  <c r="J34" i="2"/>
  <c r="J32" i="2"/>
  <c r="J4" i="2"/>
  <c r="J23" i="2"/>
  <c r="J37" i="2"/>
  <c r="J16" i="2"/>
  <c r="H38" i="15"/>
  <c r="J30" i="2"/>
  <c r="J21" i="2"/>
  <c r="M15" i="2"/>
  <c r="N15" i="2"/>
  <c r="L15" i="2"/>
  <c r="G19" i="15"/>
  <c r="H19" i="15"/>
  <c r="I38" i="2"/>
  <c r="J38" i="2"/>
  <c r="H38" i="2"/>
  <c r="F42" i="2"/>
  <c r="K38" i="2"/>
  <c r="M7" i="2"/>
  <c r="L7" i="2"/>
  <c r="N7" i="2"/>
  <c r="N4" i="12"/>
  <c r="H23" i="15"/>
  <c r="G23" i="15"/>
  <c r="D13" i="15"/>
  <c r="E55" i="15" l="1"/>
  <c r="E36" i="15" s="1"/>
  <c r="C50" i="9"/>
  <c r="C51" i="9" s="1"/>
  <c r="J50" i="9" s="1"/>
  <c r="G38" i="9"/>
  <c r="G45" i="9" s="1"/>
  <c r="G49" i="9" s="1"/>
  <c r="G7" i="12"/>
  <c r="F55" i="12"/>
  <c r="D9" i="16"/>
  <c r="E90" i="4"/>
  <c r="K88" i="4"/>
  <c r="K90" i="4" s="1"/>
  <c r="D94" i="4"/>
  <c r="C44" i="2"/>
  <c r="D44" i="2" s="1"/>
  <c r="D43" i="2"/>
  <c r="G47" i="15"/>
  <c r="H47" i="15"/>
  <c r="H54" i="15"/>
  <c r="G54" i="15"/>
  <c r="H30" i="15"/>
  <c r="G30" i="15"/>
  <c r="N5" i="12"/>
  <c r="G36" i="15"/>
  <c r="H36" i="15"/>
  <c r="E20" i="15"/>
  <c r="H13" i="15"/>
  <c r="G13" i="15"/>
  <c r="I13" i="15"/>
  <c r="I23" i="15"/>
  <c r="I43" i="15"/>
  <c r="I29" i="15"/>
  <c r="I45" i="15"/>
  <c r="I35" i="15"/>
  <c r="I49" i="15"/>
  <c r="I50" i="15"/>
  <c r="I46" i="15"/>
  <c r="I41" i="15"/>
  <c r="I28" i="15"/>
  <c r="I53" i="15"/>
  <c r="I34" i="15"/>
  <c r="I33" i="15"/>
  <c r="I32" i="15"/>
  <c r="I25" i="15"/>
  <c r="I27" i="15"/>
  <c r="I38" i="15"/>
  <c r="I37" i="15"/>
  <c r="I54" i="15"/>
  <c r="I36" i="15"/>
  <c r="I44" i="15"/>
  <c r="I47" i="15"/>
  <c r="I40" i="15"/>
  <c r="I51" i="15"/>
  <c r="I26" i="15"/>
  <c r="I52" i="15"/>
  <c r="I48" i="15"/>
  <c r="I39" i="15"/>
  <c r="I31" i="15"/>
  <c r="I30" i="15"/>
  <c r="I42" i="15"/>
  <c r="L38" i="2"/>
  <c r="M38" i="2"/>
  <c r="N38" i="2"/>
  <c r="C15" i="14"/>
  <c r="H42" i="2"/>
  <c r="K42" i="2"/>
  <c r="J42" i="2"/>
  <c r="F44" i="2"/>
  <c r="I42" i="2"/>
  <c r="E47" i="15" l="1"/>
  <c r="E23" i="15"/>
  <c r="I55" i="15"/>
  <c r="G55" i="15"/>
  <c r="E30" i="15"/>
  <c r="H55" i="15"/>
  <c r="E42" i="15"/>
  <c r="E54" i="15"/>
  <c r="H6" i="12"/>
  <c r="H4" i="12"/>
  <c r="C53" i="14"/>
  <c r="C52" i="14"/>
  <c r="C54" i="14"/>
  <c r="L7" i="12"/>
  <c r="J7" i="12"/>
  <c r="K7" i="12"/>
  <c r="H5" i="12"/>
  <c r="G55" i="12"/>
  <c r="F59" i="12"/>
  <c r="E94" i="4"/>
  <c r="D13" i="16"/>
  <c r="D36" i="16" s="1"/>
  <c r="H38" i="16" s="1"/>
  <c r="D116" i="4"/>
  <c r="M42" i="2"/>
  <c r="M44" i="2" s="1"/>
  <c r="K44" i="2"/>
  <c r="L44" i="2" s="1"/>
  <c r="N42" i="2"/>
  <c r="N44" i="2" s="1"/>
  <c r="L42" i="2"/>
  <c r="G20" i="15"/>
  <c r="I20" i="15"/>
  <c r="E7" i="15"/>
  <c r="H20" i="15"/>
  <c r="E4" i="15"/>
  <c r="E57" i="15"/>
  <c r="E19" i="15"/>
  <c r="J44" i="2"/>
  <c r="I44" i="2"/>
  <c r="H44" i="2"/>
  <c r="C60" i="14" s="1"/>
  <c r="E13" i="15"/>
  <c r="D38" i="16" l="1"/>
  <c r="H39" i="16"/>
  <c r="H21" i="12"/>
  <c r="H51" i="12"/>
  <c r="H24" i="12"/>
  <c r="H35" i="12"/>
  <c r="H38" i="12"/>
  <c r="C10" i="14"/>
  <c r="C14" i="14"/>
  <c r="H34" i="12"/>
  <c r="H37" i="12"/>
  <c r="H25" i="12"/>
  <c r="H22" i="12"/>
  <c r="H31" i="12"/>
  <c r="H8" i="12"/>
  <c r="H26" i="12"/>
  <c r="H13" i="12"/>
  <c r="H46" i="12"/>
  <c r="H47" i="12"/>
  <c r="H54" i="12"/>
  <c r="H29" i="12"/>
  <c r="H39" i="12"/>
  <c r="C49" i="14"/>
  <c r="H14" i="12"/>
  <c r="H36" i="12"/>
  <c r="H53" i="12"/>
  <c r="H41" i="12"/>
  <c r="J55" i="12"/>
  <c r="H52" i="12"/>
  <c r="H33" i="12"/>
  <c r="H17" i="12"/>
  <c r="H15" i="12"/>
  <c r="H43" i="12"/>
  <c r="K55" i="12"/>
  <c r="H18" i="12"/>
  <c r="H32" i="12"/>
  <c r="H45" i="12"/>
  <c r="H49" i="12"/>
  <c r="H30" i="12"/>
  <c r="H12" i="12"/>
  <c r="H40" i="12"/>
  <c r="H10" i="12"/>
  <c r="H27" i="12"/>
  <c r="H48" i="12"/>
  <c r="H16" i="12"/>
  <c r="H23" i="12"/>
  <c r="H28" i="12"/>
  <c r="H42" i="12"/>
  <c r="H7" i="12"/>
  <c r="H20" i="12"/>
  <c r="H19" i="12"/>
  <c r="H44" i="12"/>
  <c r="H9" i="12"/>
  <c r="H11" i="12"/>
  <c r="H50" i="12"/>
  <c r="C8" i="14"/>
  <c r="E116" i="4"/>
  <c r="D118" i="4"/>
  <c r="C39" i="6"/>
  <c r="C25" i="14"/>
  <c r="G57" i="15"/>
  <c r="I57" i="15"/>
  <c r="H57" i="15"/>
  <c r="C16" i="14" l="1"/>
  <c r="C18" i="14" s="1"/>
  <c r="C36" i="14" s="1"/>
  <c r="C38" i="14" s="1"/>
  <c r="C64" i="14"/>
  <c r="F41" i="6"/>
  <c r="L40" i="6"/>
  <c r="D39" i="6"/>
  <c r="C66" i="14"/>
  <c r="C27" i="14"/>
  <c r="C28" i="14" s="1"/>
  <c r="C67" i="14"/>
  <c r="C29" i="14"/>
  <c r="C33" i="14"/>
  <c r="C34" i="14"/>
  <c r="C40" i="14" l="1"/>
  <c r="C19" i="14"/>
  <c r="C20" i="14" s="1"/>
  <c r="C22" i="14" s="1"/>
  <c r="L41" i="6"/>
  <c r="C32" i="14"/>
  <c r="C39" i="14" s="1"/>
</calcChain>
</file>

<file path=xl/sharedStrings.xml><?xml version="1.0" encoding="utf-8"?>
<sst xmlns="http://schemas.openxmlformats.org/spreadsheetml/2006/main" count="1261" uniqueCount="947">
  <si>
    <t>Other Stock &amp; Investments:</t>
  </si>
  <si>
    <t>Co-op Retains:</t>
  </si>
  <si>
    <t>Co-op Delivery Stock:</t>
  </si>
  <si>
    <t>Jan. 1</t>
  </si>
  <si>
    <t>Fresh Apples</t>
  </si>
  <si>
    <t>Tart Cherries</t>
  </si>
  <si>
    <t>Miscellaneous Income</t>
  </si>
  <si>
    <t>Crop Insurance Proceeds</t>
  </si>
  <si>
    <t>Fresh apples</t>
  </si>
  <si>
    <t>Peeler apples</t>
  </si>
  <si>
    <t>Juice apples</t>
  </si>
  <si>
    <t>Storage</t>
  </si>
  <si>
    <t>bins</t>
  </si>
  <si>
    <t>value</t>
  </si>
  <si>
    <t>per bin</t>
  </si>
  <si>
    <t>estimated</t>
  </si>
  <si>
    <t>Total Fresh</t>
  </si>
  <si>
    <t>Total Receipts</t>
  </si>
  <si>
    <t>Peelers:</t>
  </si>
  <si>
    <t>Total Juice</t>
  </si>
  <si>
    <t>Total Peelers</t>
  </si>
  <si>
    <t>Peeler Apples</t>
  </si>
  <si>
    <t>no. of</t>
  </si>
  <si>
    <t>Farm Mkt Income</t>
  </si>
  <si>
    <t>Expenses</t>
  </si>
  <si>
    <t>Soc. Sec. Farm Share</t>
  </si>
  <si>
    <t>Unemployment</t>
  </si>
  <si>
    <t>Total Labor</t>
  </si>
  <si>
    <t>Labor Housing Expenses</t>
  </si>
  <si>
    <t>Labor Travel Expenses</t>
  </si>
  <si>
    <t>Health Insurance Exp.</t>
  </si>
  <si>
    <t>Total Indirect Labor Exp.</t>
  </si>
  <si>
    <t>Fuel, Oil &amp; Gas</t>
  </si>
  <si>
    <t>Repair &amp; Maintence: Equipment</t>
  </si>
  <si>
    <t>Spray Chemicals</t>
  </si>
  <si>
    <t xml:space="preserve"> &lt; mm/dd/yy</t>
  </si>
  <si>
    <t>Fertilizer &amp; Lime</t>
  </si>
  <si>
    <t>Machine Hire, Rent &amp; Lease</t>
  </si>
  <si>
    <t>Replacement Trees &amp; Plants</t>
  </si>
  <si>
    <t>Supplies &amp; Other Crop Expense</t>
  </si>
  <si>
    <t>R.E. Taxes</t>
  </si>
  <si>
    <t>Rent &amp; Lease</t>
  </si>
  <si>
    <t>Interest</t>
  </si>
  <si>
    <t>Legal &amp; office expense</t>
  </si>
  <si>
    <t>Miscellaneous expense</t>
  </si>
  <si>
    <t>Processing &amp; Packing supplies</t>
  </si>
  <si>
    <t>Total CASH Operating Expenses</t>
  </si>
  <si>
    <t>Investment in New Orchards</t>
  </si>
  <si>
    <t xml:space="preserve">     Machinery &amp; Equipment</t>
  </si>
  <si>
    <t xml:space="preserve">     Buildings &amp; Tiling</t>
  </si>
  <si>
    <t xml:space="preserve">     Orchard</t>
  </si>
  <si>
    <t>Inventory &amp; Prepaid Expenses</t>
  </si>
  <si>
    <t>Chemicals</t>
  </si>
  <si>
    <t>Total Inventory &amp; Prepaids</t>
  </si>
  <si>
    <t>beginning</t>
  </si>
  <si>
    <t>ending</t>
  </si>
  <si>
    <t>Change</t>
  </si>
  <si>
    <t>Fertilizer &amp; lime</t>
  </si>
  <si>
    <t>Utilities</t>
  </si>
  <si>
    <t xml:space="preserve">Other employee benefits </t>
  </si>
  <si>
    <t>Amount</t>
  </si>
  <si>
    <t>Cash</t>
  </si>
  <si>
    <t>Insurance: fire, liability, crop</t>
  </si>
  <si>
    <t>Mktg &amp; Selling Expenses</t>
  </si>
  <si>
    <t>R.E. Repair &amp; Maintenance</t>
  </si>
  <si>
    <t>Accrual</t>
  </si>
  <si>
    <t>Expense</t>
  </si>
  <si>
    <t>Cash Income</t>
  </si>
  <si>
    <t>Inventory</t>
  </si>
  <si>
    <t>Total Accounts Receivable:</t>
  </si>
  <si>
    <t>Other Crop Inventory</t>
  </si>
  <si>
    <t>Deprec: Machinery &amp; Equipment</t>
  </si>
  <si>
    <t xml:space="preserve">               Buildings &amp; Tile</t>
  </si>
  <si>
    <t xml:space="preserve">               Orchard</t>
  </si>
  <si>
    <t>check &gt;</t>
  </si>
  <si>
    <t>to exp.</t>
  </si>
  <si>
    <t>calc.</t>
  </si>
  <si>
    <t>no.</t>
  </si>
  <si>
    <t>per unit</t>
  </si>
  <si>
    <t>Accounts Payable</t>
  </si>
  <si>
    <t>&amp; Prepaids</t>
  </si>
  <si>
    <t>Payable</t>
  </si>
  <si>
    <t>Accts.</t>
  </si>
  <si>
    <t>Changes in</t>
  </si>
  <si>
    <t>Utilities: phone, garbage, water, elec.</t>
  </si>
  <si>
    <t>Resale fruit &amp; other items</t>
  </si>
  <si>
    <t>Machinery &amp; Equipment Purchases</t>
  </si>
  <si>
    <t>Item purchased</t>
  </si>
  <si>
    <t>Mach &amp; Equip: Sales, Trades, Losses</t>
  </si>
  <si>
    <t>Remove from Inv./ Adjust Basis New Item</t>
  </si>
  <si>
    <t>Total Purchases</t>
  </si>
  <si>
    <t>cash</t>
  </si>
  <si>
    <t>paid</t>
  </si>
  <si>
    <t>trade-in</t>
  </si>
  <si>
    <t>credit</t>
  </si>
  <si>
    <t xml:space="preserve">trade-in </t>
  </si>
  <si>
    <t>item no.</t>
  </si>
  <si>
    <t>below</t>
  </si>
  <si>
    <t>Total Cash Received from Sales &gt;</t>
  </si>
  <si>
    <t>received</t>
  </si>
  <si>
    <r>
      <t xml:space="preserve">End of Year </t>
    </r>
    <r>
      <rPr>
        <b/>
        <u/>
        <sz val="10"/>
        <rFont val="Arial"/>
        <family val="2"/>
      </rPr>
      <t>Market</t>
    </r>
    <r>
      <rPr>
        <b/>
        <sz val="10"/>
        <rFont val="Arial"/>
        <family val="2"/>
      </rPr>
      <t xml:space="preserve"> Value of All Machinery, Equipment &amp; Bins &gt;</t>
    </r>
  </si>
  <si>
    <t xml:space="preserve">Change in Market Value &gt; </t>
  </si>
  <si>
    <r>
      <t xml:space="preserve">Beginning of Year </t>
    </r>
    <r>
      <rPr>
        <b/>
        <u/>
        <sz val="10"/>
        <rFont val="Arial"/>
        <family val="2"/>
      </rPr>
      <t>Market</t>
    </r>
    <r>
      <rPr>
        <b/>
        <sz val="10"/>
        <rFont val="Arial"/>
        <family val="2"/>
      </rPr>
      <t xml:space="preserve"> Value of All Machinery, Equipment &amp; Bins &gt;</t>
    </r>
  </si>
  <si>
    <r>
      <t xml:space="preserve">Beginning of Year </t>
    </r>
    <r>
      <rPr>
        <b/>
        <u/>
        <sz val="10"/>
        <rFont val="Arial"/>
        <family val="2"/>
      </rPr>
      <t>Market</t>
    </r>
    <r>
      <rPr>
        <b/>
        <sz val="10"/>
        <rFont val="Arial"/>
        <family val="2"/>
      </rPr>
      <t xml:space="preserve"> Value of Farm Real Estate &gt;</t>
    </r>
  </si>
  <si>
    <t>Purchases and Capital Improvements</t>
  </si>
  <si>
    <t>(land, bldgs, new roofs, tiling, etc.)</t>
  </si>
  <si>
    <t>Total purchases &amp; capital improvements &gt;</t>
  </si>
  <si>
    <t>lost</t>
  </si>
  <si>
    <t>capital</t>
  </si>
  <si>
    <t>Market</t>
  </si>
  <si>
    <t>Value</t>
  </si>
  <si>
    <r>
      <t xml:space="preserve">End of Year </t>
    </r>
    <r>
      <rPr>
        <b/>
        <u/>
        <sz val="10"/>
        <rFont val="Arial"/>
        <family val="2"/>
      </rPr>
      <t>Market</t>
    </r>
    <r>
      <rPr>
        <b/>
        <sz val="10"/>
        <rFont val="Arial"/>
        <family val="2"/>
      </rPr>
      <t xml:space="preserve"> Value of Farm Real Estate &gt;</t>
    </r>
  </si>
  <si>
    <t>Change in Market Value of R. Estate &gt;</t>
  </si>
  <si>
    <t>Sales of Real Estate</t>
  </si>
  <si>
    <t>Total investment in new orchards</t>
  </si>
  <si>
    <t>Co-op Delivery Stock</t>
  </si>
  <si>
    <t>cash paid</t>
  </si>
  <si>
    <t>Other Capital Investment Purchases</t>
  </si>
  <si>
    <t>Total Capital Investment Purchases &gt;</t>
  </si>
  <si>
    <t>Total Other</t>
  </si>
  <si>
    <t>Current Liabilities</t>
  </si>
  <si>
    <t>Intermediate Liabilities</t>
  </si>
  <si>
    <t>Long Term Liabilities</t>
  </si>
  <si>
    <t>Beginning</t>
  </si>
  <si>
    <t>Ending</t>
  </si>
  <si>
    <t>Total Current Liabilities</t>
  </si>
  <si>
    <t>Total Intermediate Liabilities</t>
  </si>
  <si>
    <t>Total Long Term Liabilities</t>
  </si>
  <si>
    <t>Removed</t>
  </si>
  <si>
    <t>Added</t>
  </si>
  <si>
    <t>Process Peaches</t>
  </si>
  <si>
    <t>Fresh Peaches</t>
  </si>
  <si>
    <t>Tillable Open Land</t>
  </si>
  <si>
    <t>Woodland</t>
  </si>
  <si>
    <t>Nontillable land</t>
  </si>
  <si>
    <t>Non-Bearing Acreage</t>
  </si>
  <si>
    <t>Bearing Acreage</t>
  </si>
  <si>
    <t>Total Cropped</t>
  </si>
  <si>
    <t>Total Planted</t>
  </si>
  <si>
    <t>acre</t>
  </si>
  <si>
    <t>per</t>
  </si>
  <si>
    <t>Rented acres</t>
  </si>
  <si>
    <t>included above:</t>
  </si>
  <si>
    <t>Total owned acres:</t>
  </si>
  <si>
    <t>Total bearing fruit acres:</t>
  </si>
  <si>
    <t>Total fruit acres:</t>
  </si>
  <si>
    <t>Total of other crop acres:</t>
  </si>
  <si>
    <t>Total acres cropped:</t>
  </si>
  <si>
    <t>All taxable acres:</t>
  </si>
  <si>
    <t>Other perennial crops:</t>
  </si>
  <si>
    <t>tree nursery</t>
  </si>
  <si>
    <t>Production</t>
  </si>
  <si>
    <t>Total Apples</t>
  </si>
  <si>
    <t>Fresh Apples: bu.</t>
  </si>
  <si>
    <t>Peeler Apples: bu</t>
  </si>
  <si>
    <t>Stored Apples</t>
  </si>
  <si>
    <t>Net</t>
  </si>
  <si>
    <t>Sales</t>
  </si>
  <si>
    <t>This Years</t>
  </si>
  <si>
    <t>production</t>
  </si>
  <si>
    <t>Tart Cherries: lbs.</t>
  </si>
  <si>
    <t>Pears: lbs.</t>
  </si>
  <si>
    <t>Fresh Peaches: bu.</t>
  </si>
  <si>
    <t>Process Peaches: lbs.</t>
  </si>
  <si>
    <t>Blueberries: pts.</t>
  </si>
  <si>
    <t>Brambles: pts.</t>
  </si>
  <si>
    <t>Strawberries: qts</t>
  </si>
  <si>
    <t>Totals</t>
  </si>
  <si>
    <t>Growers Own Fruit</t>
  </si>
  <si>
    <t>Growers Fruit in Storage</t>
  </si>
  <si>
    <t>Grower's Fruit in Storage</t>
  </si>
  <si>
    <t>Total Liabilities</t>
  </si>
  <si>
    <t>Increase</t>
  </si>
  <si>
    <t>or Decrease</t>
  </si>
  <si>
    <t>Debt per bearing acre</t>
  </si>
  <si>
    <t>Debt per fruit acre</t>
  </si>
  <si>
    <t>Debt per bushel of apples</t>
  </si>
  <si>
    <t>Principal</t>
  </si>
  <si>
    <t>Payment</t>
  </si>
  <si>
    <t>Total</t>
  </si>
  <si>
    <t>bu./acre</t>
  </si>
  <si>
    <t>tons/A.</t>
  </si>
  <si>
    <t>tons/acre</t>
  </si>
  <si>
    <t>pints/acre</t>
  </si>
  <si>
    <t>qts./acre</t>
  </si>
  <si>
    <t>Farm Assets</t>
  </si>
  <si>
    <t>Farm cash, checking &amp; savings</t>
  </si>
  <si>
    <t>Current Assets</t>
  </si>
  <si>
    <t>Accounts receivable</t>
  </si>
  <si>
    <t>Fruit &amp; other crops in inventory</t>
  </si>
  <si>
    <t>Intermediate  assets</t>
  </si>
  <si>
    <t>Livestock</t>
  </si>
  <si>
    <t>Livestock leased</t>
  </si>
  <si>
    <t>Equipment owned</t>
  </si>
  <si>
    <t>Equipment leased</t>
  </si>
  <si>
    <t>FLB / PCA stock</t>
  </si>
  <si>
    <t>Long term assets</t>
  </si>
  <si>
    <t>Land &amp; buildings:</t>
  </si>
  <si>
    <t xml:space="preserve">          Owned</t>
  </si>
  <si>
    <t xml:space="preserve">          Structures leased</t>
  </si>
  <si>
    <t xml:space="preserve">     Total long term</t>
  </si>
  <si>
    <t xml:space="preserve">     Total intermediate</t>
  </si>
  <si>
    <t xml:space="preserve">     Total current assets</t>
  </si>
  <si>
    <t>Total farm assets</t>
  </si>
  <si>
    <t>Prdtn, pckng supplies &amp; prepaid exp</t>
  </si>
  <si>
    <t>Farm Name:</t>
  </si>
  <si>
    <t>Farm No,</t>
  </si>
  <si>
    <t>Type of Year</t>
  </si>
  <si>
    <t>Year Begins:</t>
  </si>
  <si>
    <t>Other Entities:</t>
  </si>
  <si>
    <t>Acctg Method</t>
  </si>
  <si>
    <t>Trucking Expenses</t>
  </si>
  <si>
    <t>Total accounts payable &gt;</t>
  </si>
  <si>
    <t>Open Land:</t>
  </si>
  <si>
    <t>Land Description</t>
  </si>
  <si>
    <t>Acres</t>
  </si>
  <si>
    <t>State Unemployment</t>
  </si>
  <si>
    <t>Federal Unemployment</t>
  </si>
  <si>
    <t>&lt; rate</t>
  </si>
  <si>
    <t xml:space="preserve"> </t>
  </si>
  <si>
    <t>Yr. Begins</t>
  </si>
  <si>
    <t>Year  &gt;</t>
  </si>
  <si>
    <t>January</t>
  </si>
  <si>
    <t>February</t>
  </si>
  <si>
    <t>March</t>
  </si>
  <si>
    <t>April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</si>
  <si>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</si>
  <si>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</si>
  <si>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</si>
  <si>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</si>
  <si>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</si>
  <si>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</si>
  <si>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</si>
  <si>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</si>
  <si>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 Gross Labor</t>
  </si>
  <si>
    <t>Yr. Round</t>
  </si>
  <si>
    <t>Seasonal</t>
  </si>
  <si>
    <t>Harvest</t>
  </si>
  <si>
    <t>hrs.</t>
  </si>
  <si>
    <t>check</t>
  </si>
  <si>
    <t>Month</t>
  </si>
  <si>
    <t>PR</t>
  </si>
  <si>
    <t>wk</t>
  </si>
  <si>
    <t>Legal Entity &gt;</t>
  </si>
  <si>
    <r>
      <t>Accts. Receivable</t>
    </r>
    <r>
      <rPr>
        <b/>
        <sz val="9"/>
        <rFont val="Arial"/>
        <family val="2"/>
      </rPr>
      <t xml:space="preserve"> for:</t>
    </r>
  </si>
  <si>
    <t>Farm Market</t>
  </si>
  <si>
    <t>Net Real Estate Sales &gt;</t>
  </si>
  <si>
    <t>Worker's Comp Ins &gt;</t>
  </si>
  <si>
    <t>#</t>
  </si>
  <si>
    <t>No.</t>
  </si>
  <si>
    <t>Telephone</t>
  </si>
  <si>
    <t>Other: Peas</t>
  </si>
  <si>
    <t>Other: Corn</t>
  </si>
  <si>
    <t>Other: Soybeans</t>
  </si>
  <si>
    <t>Other: Wheat</t>
  </si>
  <si>
    <t>Co-op Retains</t>
  </si>
  <si>
    <t>Other Stock &amp; Investments</t>
  </si>
  <si>
    <t>Other Crop Acres:</t>
  </si>
  <si>
    <t>Cash Flow from Operating Activities</t>
  </si>
  <si>
    <t xml:space="preserve">   - Cash farm expenses</t>
  </si>
  <si>
    <t xml:space="preserve">     Cash farm receipts</t>
  </si>
  <si>
    <t xml:space="preserve">   = Net Cash Farm Income</t>
  </si>
  <si>
    <t xml:space="preserve">     Personal Withdrawls &amp; family expenses</t>
  </si>
  <si>
    <t xml:space="preserve">        including nonfarm debt payments</t>
  </si>
  <si>
    <t xml:space="preserve">   - Nonfarm income</t>
  </si>
  <si>
    <t xml:space="preserve">   - Net cash withdrawls from farm</t>
  </si>
  <si>
    <t xml:space="preserve">   = Net Provided by Operating Activities</t>
  </si>
  <si>
    <t>Cash Flow from Investing Activities</t>
  </si>
  <si>
    <t>Sale of assets:   machinery</t>
  </si>
  <si>
    <t xml:space="preserve">                         real estate</t>
  </si>
  <si>
    <t>Capital Purchases: expansion orchard</t>
  </si>
  <si>
    <t xml:space="preserve">                            + machinery</t>
  </si>
  <si>
    <t xml:space="preserve">                            + real estate</t>
  </si>
  <si>
    <t>55 lbs</t>
  </si>
  <si>
    <t>Winter Trim</t>
  </si>
  <si>
    <t>&lt; Total Labor hired hours reported</t>
  </si>
  <si>
    <t>Total hired labor hrs calc:</t>
  </si>
  <si>
    <t>&lt; difference</t>
  </si>
  <si>
    <t>N O T E S</t>
  </si>
  <si>
    <t xml:space="preserve">                            + other stock &amp; certificates</t>
  </si>
  <si>
    <t xml:space="preserve"> = Total asset sales</t>
  </si>
  <si>
    <t xml:space="preserve"> - Total invested in farm assets</t>
  </si>
  <si>
    <t xml:space="preserve"> + Net Provided by Investment</t>
  </si>
  <si>
    <t>Cash Flow From Financing Activities</t>
  </si>
  <si>
    <t xml:space="preserve">   Money borrowed (intermediate &amp; long term)</t>
  </si>
  <si>
    <t xml:space="preserve">   + Money borrowed (short term)</t>
  </si>
  <si>
    <t xml:space="preserve">   + Increase in operating debt</t>
  </si>
  <si>
    <t xml:space="preserve">   + Cash from nonfarm capital used in business</t>
  </si>
  <si>
    <t xml:space="preserve">   + Money borrowed - nonfarm</t>
  </si>
  <si>
    <t xml:space="preserve">   = Cash flow from financing</t>
  </si>
  <si>
    <t xml:space="preserve">   Principal payments (intermediate &amp; long term)</t>
  </si>
  <si>
    <t xml:space="preserve">   + Principal payments (short term)</t>
  </si>
  <si>
    <t xml:space="preserve">   + Decrease in operating debt</t>
  </si>
  <si>
    <t xml:space="preserve">   - Cash outlfow for financing</t>
  </si>
  <si>
    <t xml:space="preserve">   = Net Provided by Financing Activities</t>
  </si>
  <si>
    <t>Cash Flow from Reserves</t>
  </si>
  <si>
    <t xml:space="preserve">   Beginning farm cash, checking &amp; savings</t>
  </si>
  <si>
    <t xml:space="preserve">   - Ending farm cash, checking &amp; savings</t>
  </si>
  <si>
    <t xml:space="preserve">   = Net Provided from Reserves</t>
  </si>
  <si>
    <t>Imbalance</t>
  </si>
  <si>
    <t>Operating Line 1</t>
  </si>
  <si>
    <t>Operating Line 2</t>
  </si>
  <si>
    <t>Term</t>
  </si>
  <si>
    <t>No. of</t>
  </si>
  <si>
    <t>Pymts</t>
  </si>
  <si>
    <t>Remain</t>
  </si>
  <si>
    <t>Final</t>
  </si>
  <si>
    <t>Pymnt</t>
  </si>
  <si>
    <t>Date</t>
  </si>
  <si>
    <t>Planned Payments</t>
  </si>
  <si>
    <t>Non-Farm Sources of Cash</t>
  </si>
  <si>
    <t>Non-Farm Loan Used in Business</t>
  </si>
  <si>
    <t>Soc. Sec.</t>
  </si>
  <si>
    <t>Taxes</t>
  </si>
  <si>
    <t>Profit Sharing</t>
  </si>
  <si>
    <t>Draw #1 Operator</t>
  </si>
  <si>
    <t>Draw #2 Operator</t>
  </si>
  <si>
    <t>Draw #3 Operator</t>
  </si>
  <si>
    <t>Drawn</t>
  </si>
  <si>
    <t>Retirement</t>
  </si>
  <si>
    <t>Actual Soc. Sec.</t>
  </si>
  <si>
    <t xml:space="preserve"> % of inflow &gt;</t>
  </si>
  <si>
    <t>Debt paid per bu. of apples</t>
  </si>
  <si>
    <t>lbs of fruit</t>
  </si>
  <si>
    <t>produced</t>
  </si>
  <si>
    <t>lbs. / acre</t>
  </si>
  <si>
    <t>email:</t>
  </si>
  <si>
    <t>fax number</t>
  </si>
  <si>
    <t>change</t>
  </si>
  <si>
    <t>Inflow &gt;</t>
  </si>
  <si>
    <t>Outflow &gt;</t>
  </si>
  <si>
    <t>Difference&gt;</t>
  </si>
  <si>
    <t>year</t>
  </si>
  <si>
    <t>60 lbs/bu</t>
  </si>
  <si>
    <t>Pears: fresh bushel</t>
  </si>
  <si>
    <t>Bin Rental</t>
  </si>
  <si>
    <t>Sweet Cherries: fresh</t>
  </si>
  <si>
    <r>
      <t xml:space="preserve">Sweet Cherries: </t>
    </r>
    <r>
      <rPr>
        <sz val="8"/>
        <rFont val="Arial"/>
        <family val="2"/>
      </rPr>
      <t>process</t>
    </r>
  </si>
  <si>
    <t>bu. / acre</t>
  </si>
  <si>
    <t>lb. of</t>
  </si>
  <si>
    <t>brng</t>
  </si>
  <si>
    <t>fruit</t>
  </si>
  <si>
    <t>ALL prdtn.</t>
  </si>
  <si>
    <t>Other: Cabbage</t>
  </si>
  <si>
    <t>Other: Snap Beans</t>
  </si>
  <si>
    <t>Cabbage</t>
  </si>
  <si>
    <t>Snap Beans</t>
  </si>
  <si>
    <t>Other Current assets:</t>
  </si>
  <si>
    <t>Leasehold Improvements</t>
  </si>
  <si>
    <t>check w/ liabilities&gt;</t>
  </si>
  <si>
    <t>check w/ asset inv.&gt;</t>
  </si>
  <si>
    <t>Sw Cherries: fresh lbs.</t>
  </si>
  <si>
    <t>Swt Cherries: Proc. lbs.</t>
  </si>
  <si>
    <t>W O R K S H E E T</t>
  </si>
  <si>
    <t>Health &amp; Life insurance</t>
  </si>
  <si>
    <t>Other</t>
  </si>
  <si>
    <t>Date of Analysis</t>
  </si>
  <si>
    <t>Receipts</t>
  </si>
  <si>
    <t>from Current</t>
  </si>
  <si>
    <t>Crop Yr.</t>
  </si>
  <si>
    <t>Apples:          Fresh</t>
  </si>
  <si>
    <t>Apples:          Peelers</t>
  </si>
  <si>
    <t>Apples:          Juice</t>
  </si>
  <si>
    <t>Total  All Apples</t>
  </si>
  <si>
    <t>Livestock income</t>
  </si>
  <si>
    <t>Bin rent</t>
  </si>
  <si>
    <t>Custom work / trucking</t>
  </si>
  <si>
    <t>Government payments</t>
  </si>
  <si>
    <t>Crop Insurance payments</t>
  </si>
  <si>
    <t>Interest / dividends</t>
  </si>
  <si>
    <t>Other:</t>
  </si>
  <si>
    <t>Plums or prunes:   process</t>
  </si>
  <si>
    <t>Miscellaneous income</t>
  </si>
  <si>
    <t>Fresh Apple Inv</t>
  </si>
  <si>
    <t>a</t>
  </si>
  <si>
    <t>b</t>
  </si>
  <si>
    <t>c</t>
  </si>
  <si>
    <t>d</t>
  </si>
  <si>
    <t>e</t>
  </si>
  <si>
    <t>f</t>
  </si>
  <si>
    <t>g</t>
  </si>
  <si>
    <t>h</t>
  </si>
  <si>
    <t>Total Expected</t>
  </si>
  <si>
    <t>Income</t>
  </si>
  <si>
    <t>Total other crops</t>
  </si>
  <si>
    <t>Peaches/Nectarines: fresh</t>
  </si>
  <si>
    <t>Pears:     fresh</t>
  </si>
  <si>
    <t>Snap beans</t>
  </si>
  <si>
    <t>Total Other Crops</t>
  </si>
  <si>
    <t>Pears:     process</t>
  </si>
  <si>
    <t>bu/acre</t>
  </si>
  <si>
    <t>Ribes: lbs.</t>
  </si>
  <si>
    <t>lbs./acre</t>
  </si>
  <si>
    <t>Non-farm debt repayment</t>
  </si>
  <si>
    <t>Fuel, oil, gas &amp; lubricants</t>
  </si>
  <si>
    <t>Repair &amp; Maintenance of Equipment</t>
  </si>
  <si>
    <t>Replacement trees &amp; plants</t>
  </si>
  <si>
    <t>Supplies &amp; other crop expense</t>
  </si>
  <si>
    <t>Processing &amp; pkg supplies</t>
  </si>
  <si>
    <t>Marketing &amp; selling expense</t>
  </si>
  <si>
    <t>RE Repair &amp; maintenance</t>
  </si>
  <si>
    <t>RE taxes</t>
  </si>
  <si>
    <t>Ins. Fire, liability &amp; crop</t>
  </si>
  <si>
    <t>Other resale items</t>
  </si>
  <si>
    <t>Farm market resale &amp; supplies</t>
  </si>
  <si>
    <t>Total Indirect Labor Expense</t>
  </si>
  <si>
    <t>Total labor</t>
  </si>
  <si>
    <t>Total indirect labor expenses</t>
  </si>
  <si>
    <t>Resale fruit</t>
  </si>
  <si>
    <t>Farm market expenses</t>
  </si>
  <si>
    <t>Farm Market expenses</t>
  </si>
  <si>
    <t>&lt; check</t>
  </si>
  <si>
    <t>Change in</t>
  </si>
  <si>
    <t>Receivables</t>
  </si>
  <si>
    <t>&amp; Inventory</t>
  </si>
  <si>
    <t>produce</t>
  </si>
  <si>
    <t>Operators' Draw</t>
  </si>
  <si>
    <t>Expenses with Operator's Draw</t>
  </si>
  <si>
    <t>bearing</t>
  </si>
  <si>
    <t>cwt of</t>
  </si>
  <si>
    <t>Jan</t>
  </si>
  <si>
    <t>Feb</t>
  </si>
  <si>
    <t>Mar</t>
  </si>
  <si>
    <t>Apr</t>
  </si>
  <si>
    <t>May</t>
  </si>
  <si>
    <t>June</t>
  </si>
  <si>
    <t>Aug</t>
  </si>
  <si>
    <t>Sept</t>
  </si>
  <si>
    <t>Oct</t>
  </si>
  <si>
    <t>Nov</t>
  </si>
  <si>
    <t>Dec</t>
  </si>
  <si>
    <t>Paid in</t>
  </si>
  <si>
    <t>Unpaid Family Labor</t>
  </si>
  <si>
    <t xml:space="preserve"> # of mos.</t>
  </si>
  <si>
    <t>Net Worth</t>
  </si>
  <si>
    <t>Parttime</t>
  </si>
  <si>
    <t>Off-Farm Investments Related to Farm (Margin Deposits)</t>
  </si>
  <si>
    <t>&gt;&gt;&gt;&gt;&gt;&gt;&gt;&gt;&gt;&gt;</t>
  </si>
  <si>
    <t>unit</t>
  </si>
  <si>
    <t>harvested</t>
  </si>
  <si>
    <t>50 lb bu.</t>
  </si>
  <si>
    <t>ton</t>
  </si>
  <si>
    <t>bin</t>
  </si>
  <si>
    <t>bu</t>
  </si>
  <si>
    <t xml:space="preserve"> 48lbs/bu.</t>
  </si>
  <si>
    <t>0.5 lbs/pt?</t>
  </si>
  <si>
    <t>Process Prunes: lbs.</t>
  </si>
  <si>
    <t>Frsh Plums/Prunes: bu.</t>
  </si>
  <si>
    <t>Process Prunes</t>
  </si>
  <si>
    <t>Retains withheld on this years crop</t>
  </si>
  <si>
    <t>Stocks Sold / Retains Rec'd ( Margin Returns)&gt;</t>
  </si>
  <si>
    <t xml:space="preserve">                         other stock &amp; certificates </t>
  </si>
  <si>
    <t>Accrual Income</t>
  </si>
  <si>
    <t>Accrual Expenses</t>
  </si>
  <si>
    <t>Net Farm Income</t>
  </si>
  <si>
    <t>Labor &amp; Management per Operator</t>
  </si>
  <si>
    <t>Non-Farm Income</t>
  </si>
  <si>
    <t>Average equity &gt;</t>
  </si>
  <si>
    <t>Unpaid family labor @ $2000/mo</t>
  </si>
  <si>
    <t>Real Interest on Avg Equity Capital @ 5%</t>
  </si>
  <si>
    <t>Number of Farm Operators</t>
  </si>
  <si>
    <t>Rate of Return to Avg. Equity Capital</t>
  </si>
  <si>
    <t>Rate of Return to Avg. Total Capital</t>
  </si>
  <si>
    <t>Avg. Total Capital</t>
  </si>
  <si>
    <t>Average Equity Capital</t>
  </si>
  <si>
    <t>Return to Oprs' L,M &amp; Equity Capital</t>
  </si>
  <si>
    <t>Average Total Farm Capital &gt;</t>
  </si>
  <si>
    <t>Value of</t>
  </si>
  <si>
    <t>Opr. L &amp; M</t>
  </si>
  <si>
    <t>Value of Operators' Lbr &amp; Mgt</t>
  </si>
  <si>
    <t>Return on Avg. Equity Capital</t>
  </si>
  <si>
    <t xml:space="preserve"> + Interest Paid</t>
  </si>
  <si>
    <t>Return on Average Total Capital</t>
  </si>
  <si>
    <t>Financial Summary - Year End</t>
  </si>
  <si>
    <t>Farm Net Worth</t>
  </si>
  <si>
    <t>Farm Liabilities</t>
  </si>
  <si>
    <t>Debt to Asset Ratio</t>
  </si>
  <si>
    <t>Percent Equity</t>
  </si>
  <si>
    <t>Debt per Bearing Acre</t>
  </si>
  <si>
    <t>Cash Flow Coverage Ratio</t>
  </si>
  <si>
    <t>Cash Farm Receipts</t>
  </si>
  <si>
    <t>Debt Payments Planned</t>
  </si>
  <si>
    <t xml:space="preserve"> - Cash Farm Expenses</t>
  </si>
  <si>
    <t xml:space="preserve"> - Net Personal Withdrawls</t>
  </si>
  <si>
    <t xml:space="preserve"> = Amount Available for Debt Service</t>
  </si>
  <si>
    <t>Cost Control - Accrual / bearing acre</t>
  </si>
  <si>
    <t>All labor</t>
  </si>
  <si>
    <t>All equipment</t>
  </si>
  <si>
    <t>Spray</t>
  </si>
  <si>
    <t>Average Equipment Investment &gt;</t>
  </si>
  <si>
    <t>Size &amp; Rates of Production</t>
  </si>
  <si>
    <t>Bearing Fruit Acres</t>
  </si>
  <si>
    <t>All Fruit Acres</t>
  </si>
  <si>
    <t>Non-bearing fruit acres</t>
  </si>
  <si>
    <t>Apples produced, bushels</t>
  </si>
  <si>
    <t>Fresh- - percent of apples harvested</t>
  </si>
  <si>
    <t>Percent of receipts due to apples</t>
  </si>
  <si>
    <t>Farm Business Trends &amp; Progress</t>
  </si>
  <si>
    <t>Pears:    process</t>
  </si>
  <si>
    <t xml:space="preserve"> % 0f</t>
  </si>
  <si>
    <t>Capital Turnover, years</t>
  </si>
  <si>
    <t>Apricots: lbs.</t>
  </si>
  <si>
    <t>Apricots</t>
  </si>
  <si>
    <t>W or k s h e e t</t>
  </si>
  <si>
    <t>Utilities: phone, garbage,water,elec.</t>
  </si>
  <si>
    <t>%</t>
  </si>
  <si>
    <t>Percent</t>
  </si>
  <si>
    <t>of Total</t>
  </si>
  <si>
    <t>Operating Line 3</t>
  </si>
  <si>
    <t>Hired Labor + Opr Labor &gt;</t>
  </si>
  <si>
    <t>Draw #4 Operator</t>
  </si>
  <si>
    <t>Contract dormant pruning &gt;</t>
  </si>
  <si>
    <t>Crew Leader &amp;/or Contractor &gt;</t>
  </si>
  <si>
    <t>Quality Control &gt;</t>
  </si>
  <si>
    <t>Custom harvest hired &gt;</t>
  </si>
  <si>
    <t>Year Round Labor</t>
  </si>
  <si>
    <t>Fulltime</t>
  </si>
  <si>
    <t>mos.</t>
  </si>
  <si>
    <t>worked</t>
  </si>
  <si>
    <t>Draw / Salary &amp; Benefits</t>
  </si>
  <si>
    <t>Other custom seasonal work &gt;</t>
  </si>
  <si>
    <t>Contractor and/or Crew Ldr&gt;</t>
  </si>
  <si>
    <r>
      <t>Seasonal Labor</t>
    </r>
    <r>
      <rPr>
        <sz val="8"/>
        <rFont val="Arial"/>
        <family val="2"/>
      </rPr>
      <t xml:space="preserve"> (include custom labor)</t>
    </r>
  </si>
  <si>
    <r>
      <t>Harvest Labor</t>
    </r>
    <r>
      <rPr>
        <sz val="8"/>
        <rFont val="Arial"/>
        <family val="2"/>
      </rPr>
      <t xml:space="preserve"> (include custom labor)</t>
    </r>
  </si>
  <si>
    <t>Legal &amp; Office (office supplies)</t>
  </si>
  <si>
    <t>Miscellaneous &amp; other</t>
  </si>
  <si>
    <t>Miscellaneous  &amp; other expense</t>
  </si>
  <si>
    <t xml:space="preserve">W O R K S H E E T </t>
  </si>
  <si>
    <t>Depreciation Worksheet Total &gt;</t>
  </si>
  <si>
    <t>check:</t>
  </si>
  <si>
    <t>42 lbs of</t>
  </si>
  <si>
    <t>840 lbs of</t>
  </si>
  <si>
    <t>prdtn</t>
  </si>
  <si>
    <t>ton of</t>
  </si>
  <si>
    <t>Seasonal custom/contract work</t>
  </si>
  <si>
    <t>Harvest Custom/Contract Work</t>
  </si>
  <si>
    <t>Actual Accts</t>
  </si>
  <si>
    <t>Rec'd from</t>
  </si>
  <si>
    <t>Prior Crop Yr</t>
  </si>
  <si>
    <t>56 lb. Bu.</t>
  </si>
  <si>
    <t>Apple Yield per bearing acre in bushels</t>
  </si>
  <si>
    <t>Percent of fruit acreage non-bearing:</t>
  </si>
  <si>
    <t>Stone fruit yield per acre in tons</t>
  </si>
  <si>
    <t>Percent of receipts due to stone fruits</t>
  </si>
  <si>
    <t>Berry yield per acre in tons</t>
  </si>
  <si>
    <t xml:space="preserve">L A B O R    W O R K S H E E T </t>
  </si>
  <si>
    <t>I</t>
  </si>
  <si>
    <t>Resale Fruit &amp; other items</t>
  </si>
  <si>
    <t xml:space="preserve">M A C H I N E R Y     W O R K S H E E T </t>
  </si>
  <si>
    <t xml:space="preserve"> R E A L    E S T A T E    &amp;    N E W    O R C H A R D     W O R K S H E E T</t>
  </si>
  <si>
    <t>OPTIONAL WORKSHEET</t>
  </si>
  <si>
    <t>Grapes: juice</t>
  </si>
  <si>
    <t>Grapes: wine</t>
  </si>
  <si>
    <t>Grapes: table</t>
  </si>
  <si>
    <t>Grapes: juice tons</t>
  </si>
  <si>
    <t>Grapes: wine tons</t>
  </si>
  <si>
    <t>Grapes: fresh tons</t>
  </si>
  <si>
    <t xml:space="preserve">cropped </t>
  </si>
  <si>
    <t>&gt;</t>
  </si>
  <si>
    <t>Expenses plus depreciation</t>
  </si>
  <si>
    <t>R e p o r t</t>
  </si>
  <si>
    <t>Restructured Operating Debt</t>
  </si>
  <si>
    <t xml:space="preserve">   Percent Equity &gt;</t>
  </si>
  <si>
    <t>Debt pymt planned per brng acre:</t>
  </si>
  <si>
    <t>L a n d    V a l u e     W O R K S H E E T</t>
  </si>
  <si>
    <r>
      <t>CHECK&gt;</t>
    </r>
    <r>
      <rPr>
        <sz val="8"/>
        <rFont val="Arial"/>
        <family val="2"/>
      </rPr>
      <t xml:space="preserve"> FC Stock included above?</t>
    </r>
  </si>
  <si>
    <t>Available tillable acres:</t>
  </si>
  <si>
    <t>Production per bearing acre</t>
  </si>
  <si>
    <t>total lbs.</t>
  </si>
  <si>
    <t>produced &gt;</t>
  </si>
  <si>
    <t>Chk&gt;</t>
  </si>
  <si>
    <t xml:space="preserve"> &gt; &gt; &gt; &gt; &gt; &gt; &gt; &gt; &gt; &gt; &gt; &gt; &gt; &gt; &gt;</t>
  </si>
  <si>
    <t>C000ex</t>
  </si>
  <si>
    <t>Contact person:</t>
  </si>
  <si>
    <t>Cornell Cooperative Extension Fruit Farm Business Summary</t>
  </si>
  <si>
    <t>Livestock Income</t>
  </si>
  <si>
    <t>Vegetable, Field &amp; Other Crops</t>
  </si>
  <si>
    <t>Miscellaneous &amp; Other Income</t>
  </si>
  <si>
    <t>Hired Labor (salaries/wages, benefits,taxes,etc.)</t>
  </si>
  <si>
    <r>
      <t xml:space="preserve">Other crop exp &amp; supp </t>
    </r>
    <r>
      <rPr>
        <sz val="8"/>
        <rFont val="Arial"/>
        <family val="2"/>
      </rPr>
      <t>(bees, scouting, soil test, etc)</t>
    </r>
  </si>
  <si>
    <t>Resale Fruit &amp; Other Items</t>
  </si>
  <si>
    <t>Fuel, oil &amp; gas</t>
  </si>
  <si>
    <t>Trucking expenses</t>
  </si>
  <si>
    <t>Machine hire, rent &amp; lease</t>
  </si>
  <si>
    <t>Storage expense</t>
  </si>
  <si>
    <t>Farm Market expense</t>
  </si>
  <si>
    <t>Marketing &amp; Selling expense</t>
  </si>
  <si>
    <t>Real estate repair &amp; Maintenace</t>
  </si>
  <si>
    <t>R.E Taxes</t>
  </si>
  <si>
    <t>Insurance: fire, liability</t>
  </si>
  <si>
    <t>Machinery Depreciation</t>
  </si>
  <si>
    <t>Orchard Depreciation</t>
  </si>
  <si>
    <t>Building Depreciation</t>
  </si>
  <si>
    <t>Accrual Net Farm Income</t>
  </si>
  <si>
    <t>Fresh Fruits:        Pome Fruits</t>
  </si>
  <si>
    <t xml:space="preserve">                          Stone Fruits</t>
  </si>
  <si>
    <t xml:space="preserve">                          Berries</t>
  </si>
  <si>
    <t>Process Fruits:    Pome Fruits</t>
  </si>
  <si>
    <t>Strawberries:  fresh</t>
  </si>
  <si>
    <t>Strawberries:  process</t>
  </si>
  <si>
    <t>Blueberries:    fresh</t>
  </si>
  <si>
    <t>Blueberries:    process</t>
  </si>
  <si>
    <t>Brambles:      fresh</t>
  </si>
  <si>
    <t>Brambles:      process</t>
  </si>
  <si>
    <t>Ribes:           fresh</t>
  </si>
  <si>
    <t>Ribes:           process</t>
  </si>
  <si>
    <t>Other tree fruit/nuts</t>
  </si>
  <si>
    <t>Other berries: process</t>
  </si>
  <si>
    <t>Other berries: fresh</t>
  </si>
  <si>
    <r>
      <t>Other berries:</t>
    </r>
    <r>
      <rPr>
        <sz val="9"/>
        <rFont val="Arial"/>
        <family val="2"/>
      </rPr>
      <t xml:space="preserve"> proc. lbs</t>
    </r>
  </si>
  <si>
    <r>
      <t>Other berries:</t>
    </r>
    <r>
      <rPr>
        <sz val="9"/>
        <rFont val="Arial"/>
        <family val="2"/>
      </rPr>
      <t xml:space="preserve"> fresh lbs.</t>
    </r>
  </si>
  <si>
    <t>Strawberries: lbs</t>
  </si>
  <si>
    <t>Brambles: lbs.</t>
  </si>
  <si>
    <t>Ribes: pints</t>
  </si>
  <si>
    <t>Blueberries: lbs.</t>
  </si>
  <si>
    <t>Other tree fruits/nuts</t>
  </si>
  <si>
    <t>Other tree fruits/nuts lbs</t>
  </si>
  <si>
    <t>lbs/acre</t>
  </si>
  <si>
    <t>Cider/Juice Apples: bu</t>
  </si>
  <si>
    <t>Cider / Juice Apples</t>
  </si>
  <si>
    <t>Cranberries</t>
  </si>
  <si>
    <t>Cranberries: tons</t>
  </si>
  <si>
    <t>Other Tree Fruits/Nuts</t>
  </si>
  <si>
    <t>Accrual Basis</t>
  </si>
  <si>
    <t>Insurance: Crop &amp; Adj Gr Revenue</t>
  </si>
  <si>
    <t>Workers Comp. &amp; Disability</t>
  </si>
  <si>
    <t>Insurance: crop &amp; adj gross revenue</t>
  </si>
  <si>
    <t>Storage &amp; Bin Rental, Trucking &amp; Custom Work</t>
  </si>
  <si>
    <t>Gov't Payments &amp; Crop Insurance</t>
  </si>
  <si>
    <t>Trucking</t>
  </si>
  <si>
    <t xml:space="preserve">Resale fruit </t>
  </si>
  <si>
    <t>Ins. Crop &amp; AGR</t>
  </si>
  <si>
    <t>Insurance: crop &amp; agr</t>
  </si>
  <si>
    <t>Street</t>
  </si>
  <si>
    <t>Town</t>
  </si>
  <si>
    <t>State</t>
  </si>
  <si>
    <t>Zip Code</t>
  </si>
  <si>
    <t>(fiscal or calendar)</t>
  </si>
  <si>
    <t>(cash or accrual)</t>
  </si>
  <si>
    <t>Total Other Income</t>
  </si>
  <si>
    <t>Inc. Expected</t>
  </si>
  <si>
    <t>Plums or prunes:   fresh</t>
  </si>
  <si>
    <t>Grapes:                      juice</t>
  </si>
  <si>
    <t>Grapes:                      wine</t>
  </si>
  <si>
    <t>Strawberries:            process</t>
  </si>
  <si>
    <t>Blueberries:              process</t>
  </si>
  <si>
    <t>Other berries:         process</t>
  </si>
  <si>
    <t>Brambles:                 process</t>
  </si>
  <si>
    <t>Current Crop</t>
  </si>
  <si>
    <t>&amp; Operations</t>
  </si>
  <si>
    <t>Sweet Cherries:        fresh</t>
  </si>
  <si>
    <t>Sweet Cherries:        process</t>
  </si>
  <si>
    <t>Plums / prunes:        fresh</t>
  </si>
  <si>
    <t>Plums / prunes:        process</t>
  </si>
  <si>
    <t xml:space="preserve">Apricots:                 </t>
  </si>
  <si>
    <t xml:space="preserve">Other tree fruit / nuts:         </t>
  </si>
  <si>
    <t>Grapes:                      table</t>
  </si>
  <si>
    <t>Strawberries:            fresh</t>
  </si>
  <si>
    <t>Blueberries:              fresh</t>
  </si>
  <si>
    <t>Brambles:                 fresh</t>
  </si>
  <si>
    <t>Corn</t>
  </si>
  <si>
    <t>Soybeans</t>
  </si>
  <si>
    <t>Peas</t>
  </si>
  <si>
    <t>Ribes:                        fresh</t>
  </si>
  <si>
    <t>Other berries:           fresh</t>
  </si>
  <si>
    <t>Other berries:           process</t>
  </si>
  <si>
    <t xml:space="preserve"> &lt; difference</t>
  </si>
  <si>
    <t>of Year</t>
  </si>
  <si>
    <t>Year</t>
  </si>
  <si>
    <t>End</t>
  </si>
  <si>
    <t>Cash Value Life Insurance on Corp Officrs</t>
  </si>
  <si>
    <t xml:space="preserve">     Total intermediate assets</t>
  </si>
  <si>
    <t xml:space="preserve">     Total long term assets</t>
  </si>
  <si>
    <t>A c c r u a l     I n c o m e     S t a t e m e n t</t>
  </si>
  <si>
    <r>
      <t xml:space="preserve">                          Berries </t>
    </r>
    <r>
      <rPr>
        <sz val="8"/>
        <rFont val="Arial"/>
        <family val="2"/>
      </rPr>
      <t>(frozen, juice, wine, etc.)</t>
    </r>
  </si>
  <si>
    <t>Total Production Income</t>
  </si>
  <si>
    <t>Total Accrual Expenses</t>
  </si>
  <si>
    <t xml:space="preserve">Total  of All Accrual Income </t>
  </si>
  <si>
    <t>N O T E S:</t>
  </si>
  <si>
    <t>To be included in the Cornell Fruit Farm Business</t>
  </si>
  <si>
    <t>Summary a farm must meet the following criteria:</t>
  </si>
  <si>
    <t xml:space="preserve"> 1. Cash flow must balance within 1.0%</t>
  </si>
  <si>
    <t xml:space="preserve"> 2. Fruit should be a major source of income (65% </t>
  </si>
  <si>
    <t>fruit from other enterprises (inc, exp., value of equip., etc.)</t>
  </si>
  <si>
    <t>ENUMERATORS NOTES:</t>
  </si>
  <si>
    <r>
      <t xml:space="preserve"> or more of total income) </t>
    </r>
    <r>
      <rPr>
        <b/>
        <i/>
        <sz val="9"/>
        <rFont val="Arial"/>
        <family val="2"/>
      </rPr>
      <t>OR</t>
    </r>
    <r>
      <rPr>
        <i/>
        <sz val="9"/>
        <rFont val="Arial"/>
        <family val="2"/>
      </rPr>
      <t xml:space="preserve"> </t>
    </r>
    <r>
      <rPr>
        <b/>
        <i/>
        <u/>
        <sz val="9"/>
        <rFont val="Arial"/>
        <family val="2"/>
      </rPr>
      <t>IF</t>
    </r>
    <r>
      <rPr>
        <i/>
        <sz val="9"/>
        <rFont val="Arial"/>
        <family val="2"/>
      </rPr>
      <t xml:space="preserve"> the grower can separate</t>
    </r>
  </si>
  <si>
    <t>the farm may be divided into two entities; whole farm</t>
  </si>
  <si>
    <t>and then fruit farm.  Run the whole farm first to balance</t>
  </si>
  <si>
    <t>cash flow balances, then run a separate fruit farm analysis.</t>
  </si>
  <si>
    <t>Enter your farm data in the colored cells</t>
  </si>
  <si>
    <t>4. The Orange tabs at the end of this workbook are</t>
  </si>
  <si>
    <t xml:space="preserve"> for the transfer of farm data into the Cornell database.</t>
  </si>
  <si>
    <t>5. Before printing out reports make sure that</t>
  </si>
  <si>
    <t>Note: Annual information may be entered on any line, monthly breakdown NOT required.</t>
  </si>
  <si>
    <t xml:space="preserve">Please break down labor into a minimum of </t>
  </si>
  <si>
    <t>TWO categories: Year Round &amp; Harvest</t>
  </si>
  <si>
    <t>Section A. - Please break out into section B.</t>
  </si>
  <si>
    <t>A.  Hired Labor &gt;</t>
  </si>
  <si>
    <t xml:space="preserve"> B.  Operators'</t>
  </si>
  <si>
    <t>C. Custom Labor / Contractor</t>
  </si>
  <si>
    <t xml:space="preserve"> Total H-2A Labor  &gt;  &gt;  &gt;  &gt;  &gt;   &gt;  &gt;  &gt; </t>
  </si>
  <si>
    <t xml:space="preserve"> Total Domestic Labor $ reported on 943 form &gt;</t>
  </si>
  <si>
    <r>
      <t xml:space="preserve">NOTE: </t>
    </r>
    <r>
      <rPr>
        <i/>
        <sz val="10"/>
        <rFont val="Arial"/>
        <family val="2"/>
      </rPr>
      <t>This page is optional.  Annual payment amounts from column 1 should be entered on Expense Page under</t>
    </r>
  </si>
  <si>
    <t>Column 1</t>
  </si>
  <si>
    <t>Column 2</t>
  </si>
  <si>
    <t>16. Machine Hire, Rent &amp; Lease. Column 2 totals should be listed on expense page under 28. Rent &amp; Lease (Real Estate)</t>
  </si>
  <si>
    <t>Lease Worksheet</t>
  </si>
  <si>
    <t>Current Portion of Interm. &amp; Long Term</t>
  </si>
  <si>
    <r>
      <t xml:space="preserve">Long Term Liabilities </t>
    </r>
    <r>
      <rPr>
        <i/>
        <sz val="9"/>
        <rFont val="Arial"/>
        <family val="2"/>
      </rPr>
      <t>(minus current portion included under Current Liabilities)</t>
    </r>
  </si>
  <si>
    <r>
      <t xml:space="preserve">Intermediate Liabilities </t>
    </r>
    <r>
      <rPr>
        <i/>
        <sz val="9"/>
        <rFont val="Arial"/>
        <family val="2"/>
      </rPr>
      <t>(minus current portion included under Current Liablities)</t>
    </r>
  </si>
  <si>
    <t>Notes receivable</t>
  </si>
  <si>
    <t>Farm Balance Sheet</t>
  </si>
  <si>
    <t>Profitability</t>
  </si>
  <si>
    <t>Labor &amp; Management Income per Farm</t>
  </si>
  <si>
    <t>Brambles</t>
  </si>
  <si>
    <r>
      <t xml:space="preserve">Plums / Prunes: </t>
    </r>
    <r>
      <rPr>
        <sz val="9"/>
        <rFont val="Arial"/>
        <family val="2"/>
      </rPr>
      <t>Fresh</t>
    </r>
  </si>
  <si>
    <t>qt.</t>
  </si>
  <si>
    <t>lb.</t>
  </si>
  <si>
    <t>pint</t>
  </si>
  <si>
    <t>pt</t>
  </si>
  <si>
    <t>pt.</t>
  </si>
  <si>
    <t>lbs/pt?</t>
  </si>
  <si>
    <t>Annual Cash Flow Statement</t>
  </si>
  <si>
    <t>age</t>
  </si>
  <si>
    <t>education</t>
  </si>
  <si>
    <t>yrs. of</t>
  </si>
  <si>
    <t>Labor Travel + Other H2a Expense</t>
  </si>
  <si>
    <t>Fresh Pome Fruits</t>
  </si>
  <si>
    <t>Process Pome Fruits</t>
  </si>
  <si>
    <t>Sweet Cherries</t>
  </si>
  <si>
    <t>Fresh Peaches/Nectarines</t>
  </si>
  <si>
    <t>Y or N</t>
  </si>
  <si>
    <t>Berries in General</t>
  </si>
  <si>
    <t>Strawberries</t>
  </si>
  <si>
    <t>Blueberries</t>
  </si>
  <si>
    <t>Comparisons Desired</t>
  </si>
  <si>
    <t>Direct Marketed</t>
  </si>
  <si>
    <t>Wholesale Marketed</t>
  </si>
  <si>
    <t>Farms with Storages</t>
  </si>
  <si>
    <t>Farms with Packing lines</t>
  </si>
  <si>
    <t>Agri-tourism</t>
  </si>
  <si>
    <t>Interest on equity @ 5%</t>
  </si>
  <si>
    <r>
      <t>CHECK&gt;</t>
    </r>
    <r>
      <rPr>
        <sz val="8"/>
        <rFont val="Arial"/>
        <family val="2"/>
      </rPr>
      <t xml:space="preserve"> Lender's Stmnt: Total Liabilities</t>
    </r>
  </si>
  <si>
    <t xml:space="preserve">                                       Diff &gt;</t>
  </si>
  <si>
    <r>
      <t xml:space="preserve">Ck </t>
    </r>
    <r>
      <rPr>
        <sz val="8"/>
        <rFont val="Arial"/>
        <family val="2"/>
      </rPr>
      <t xml:space="preserve">all </t>
    </r>
    <r>
      <rPr>
        <sz val="10"/>
        <rFont val="Arial"/>
        <family val="2"/>
      </rPr>
      <t>&gt;</t>
    </r>
  </si>
  <si>
    <t>% of Total Income</t>
  </si>
  <si>
    <t>% of Total Expenses</t>
  </si>
  <si>
    <t>Operating Expense Ratio</t>
  </si>
  <si>
    <t>per brng A.</t>
  </si>
  <si>
    <t>Cost Control per $1.00 of fruit receipts</t>
  </si>
  <si>
    <t xml:space="preserve">Chemical cost </t>
  </si>
  <si>
    <t xml:space="preserve">Labor cost </t>
  </si>
  <si>
    <t xml:space="preserve">Interest cost </t>
  </si>
  <si>
    <t>Recommended procedure:</t>
  </si>
  <si>
    <t>1. Enter information in order of sheets (tabs)</t>
  </si>
  <si>
    <t>3. Tabs beginning with R- are Reports</t>
  </si>
  <si>
    <t xml:space="preserve">    Cash Flow balances.</t>
  </si>
  <si>
    <t>2. Review data sheets for errors</t>
  </si>
  <si>
    <t>recordkeeping by spouse?</t>
  </si>
  <si>
    <t>Number of</t>
  </si>
  <si>
    <t>Payments</t>
  </si>
  <si>
    <t>Payments/</t>
  </si>
  <si>
    <t>full year</t>
  </si>
  <si>
    <t>Remaining</t>
  </si>
  <si>
    <t>Structure description</t>
  </si>
  <si>
    <t>Equipment / bin description</t>
  </si>
  <si>
    <t>Total expense for all leases &gt;</t>
  </si>
  <si>
    <t>Payments in</t>
  </si>
  <si>
    <t>A / R from</t>
  </si>
  <si>
    <t>Finance</t>
  </si>
  <si>
    <t>Charge</t>
  </si>
  <si>
    <t>Long Term Loan #2 -</t>
  </si>
  <si>
    <t>Notes</t>
  </si>
  <si>
    <t>Pears:                     fresh</t>
  </si>
  <si>
    <t>Pears:                     process</t>
  </si>
  <si>
    <t>Peaches:                 process</t>
  </si>
  <si>
    <t>tons / acre</t>
  </si>
  <si>
    <t xml:space="preserve"> &lt; Check.</t>
  </si>
  <si>
    <t>Clover hay + seed</t>
  </si>
  <si>
    <t>Tillable</t>
  </si>
  <si>
    <t>Fruit</t>
  </si>
  <si>
    <t>Per Bu.</t>
  </si>
  <si>
    <t>Investment in Growing Crop,</t>
  </si>
  <si>
    <t>Refunds &amp;/or Other Income:</t>
  </si>
  <si>
    <t>&lt;Quick Calc. 1</t>
  </si>
  <si>
    <t>&lt;Quick Calc 2</t>
  </si>
  <si>
    <t>&lt;Quick Calc 3</t>
  </si>
  <si>
    <t>&lt; Total of Quick Calc.</t>
  </si>
  <si>
    <t xml:space="preserve">Yet to do: </t>
  </si>
  <si>
    <t>Fiscal Year Labor Total&gt;</t>
  </si>
  <si>
    <t>&lt; Diff C-.Tax Ret</t>
  </si>
  <si>
    <t>&lt; Diff Sched. F</t>
  </si>
  <si>
    <t>Notes on  Accounts Payable</t>
  </si>
  <si>
    <t>Notes on Inventories, Prepaids, Invst Growing Crop</t>
  </si>
  <si>
    <t xml:space="preserve">    in the workbook (Some sheets extend to line 127)</t>
  </si>
  <si>
    <t>Next year's</t>
  </si>
  <si>
    <t>A / R</t>
  </si>
  <si>
    <t>Inv</t>
  </si>
  <si>
    <t>T &amp; I</t>
  </si>
  <si>
    <t>Yrly Change &gt;</t>
  </si>
  <si>
    <t>differences &gt;</t>
  </si>
  <si>
    <r>
      <t xml:space="preserve">Check&gt; </t>
    </r>
    <r>
      <rPr>
        <sz val="8"/>
        <rFont val="Arial"/>
        <family val="2"/>
      </rPr>
      <t>A/R  &amp; Inv. reported  &gt;</t>
    </r>
  </si>
  <si>
    <t>&lt; this pg</t>
  </si>
  <si>
    <t>&lt; inc pg</t>
  </si>
  <si>
    <t>Accuracy Check</t>
  </si>
  <si>
    <t>AR + Produce Inv.</t>
  </si>
  <si>
    <t>Input Inventory</t>
  </si>
  <si>
    <t>diff</t>
  </si>
  <si>
    <t>Peaches:                process</t>
  </si>
  <si>
    <t>Sweet Cherries:     process</t>
  </si>
  <si>
    <t>Peaches:                fresh</t>
  </si>
  <si>
    <t>Pears:                    process</t>
  </si>
  <si>
    <t>Grapes:                   juice</t>
  </si>
  <si>
    <t>Grapes:                   wine</t>
  </si>
  <si>
    <t>Strawberries:          process</t>
  </si>
  <si>
    <t>Blueberries:            process</t>
  </si>
  <si>
    <t>Brambles:               process</t>
  </si>
  <si>
    <t>Ribes:                     process</t>
  </si>
  <si>
    <t>Sweet Cherries      fresh</t>
  </si>
  <si>
    <t>&lt;Assets Cmp</t>
  </si>
  <si>
    <t xml:space="preserve">Other: </t>
  </si>
  <si>
    <t>Farm Market Inventory</t>
  </si>
  <si>
    <t>Labor +</t>
  </si>
  <si>
    <t>Indirects</t>
  </si>
  <si>
    <t>Begin of Yr</t>
  </si>
  <si>
    <t>End of Yr.</t>
  </si>
  <si>
    <t>&lt; income pg</t>
  </si>
  <si>
    <t>Totals: Stock, Retains, Other&gt;</t>
  </si>
  <si>
    <t>Diff</t>
  </si>
  <si>
    <r>
      <t>Current Portion:</t>
    </r>
    <r>
      <rPr>
        <sz val="9"/>
        <rFont val="Arial"/>
        <family val="2"/>
      </rPr>
      <t xml:space="preserve"> Int &amp; Long Term Debt</t>
    </r>
  </si>
  <si>
    <t>&lt; accrual tax comp</t>
  </si>
  <si>
    <t>Interest / Dividends</t>
  </si>
  <si>
    <t>Refunds &amp; Other</t>
  </si>
  <si>
    <t>Total Fresh Pears</t>
  </si>
  <si>
    <t>&lt; Sch F Comp</t>
  </si>
  <si>
    <t>&lt; Accrual Comp</t>
  </si>
  <si>
    <t>Current Portion: Interm.</t>
  </si>
  <si>
    <t>Current Portion:Long Term</t>
  </si>
  <si>
    <t>Adj.</t>
  </si>
  <si>
    <t>w/ Opr.</t>
  </si>
  <si>
    <t>w/ Adj.</t>
  </si>
  <si>
    <r>
      <t xml:space="preserve">Notes Receivable / </t>
    </r>
    <r>
      <rPr>
        <sz val="9"/>
        <rFont val="Arial"/>
        <family val="2"/>
      </rPr>
      <t>Credit Card Sales in transit</t>
    </r>
  </si>
  <si>
    <r>
      <t xml:space="preserve">Other Crops: </t>
    </r>
    <r>
      <rPr>
        <sz val="8"/>
        <rFont val="Arial"/>
        <family val="2"/>
      </rPr>
      <t xml:space="preserve"> Pumpkins</t>
    </r>
  </si>
  <si>
    <t>Farm ID</t>
  </si>
  <si>
    <t>Onions</t>
  </si>
  <si>
    <t xml:space="preserve">          Value / acre owned &gt;</t>
  </si>
  <si>
    <t>version: amd080507</t>
  </si>
  <si>
    <t>Ribes:                       process</t>
  </si>
  <si>
    <t>Total Labor &gt;</t>
  </si>
  <si>
    <t>Soc Sec on Total Gross Labor</t>
  </si>
  <si>
    <t>Soc Sec on Total Domestic Labor</t>
  </si>
  <si>
    <t xml:space="preserve"> &lt; diff</t>
  </si>
  <si>
    <t>Storage &amp; Other Rental</t>
  </si>
  <si>
    <r>
      <t xml:space="preserve">Total Hired Labor       </t>
    </r>
    <r>
      <rPr>
        <i/>
        <sz val="8"/>
        <rFont val="Arial"/>
        <family val="2"/>
      </rPr>
      <t>Yr. Round Labor</t>
    </r>
  </si>
  <si>
    <t xml:space="preserve">                                        Seasonal Labor</t>
  </si>
  <si>
    <t xml:space="preserve">                                        Harvest Labor</t>
  </si>
  <si>
    <t xml:space="preserve">diff &gt;    </t>
  </si>
  <si>
    <t>Oats,Buckwheat,Rye</t>
  </si>
  <si>
    <t xml:space="preserve">CELL PHONE NUMBER: </t>
  </si>
  <si>
    <t>calendar</t>
  </si>
  <si>
    <t xml:space="preserve"> &lt; Pome lbs</t>
  </si>
  <si>
    <t>&lt; Stone lbs</t>
  </si>
  <si>
    <t>&lt; Berry lbs</t>
  </si>
  <si>
    <t>Frt Acres:</t>
  </si>
  <si>
    <t>per 42 lbs</t>
  </si>
  <si>
    <t>of prdtn</t>
  </si>
  <si>
    <t>Per $ of</t>
  </si>
  <si>
    <t>fruit inc.</t>
  </si>
  <si>
    <t>brng A.</t>
  </si>
  <si>
    <r>
      <t xml:space="preserve">Operator's labor should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be included in</t>
    </r>
  </si>
  <si>
    <t xml:space="preserve">     Check: Sch F comp (cash) &gt;</t>
  </si>
  <si>
    <t>acres</t>
  </si>
  <si>
    <t>RE Asset Notes</t>
  </si>
  <si>
    <t>Schedule F</t>
  </si>
  <si>
    <t>Resale</t>
  </si>
  <si>
    <t>Deprec</t>
  </si>
  <si>
    <t>P/L Stmt</t>
  </si>
  <si>
    <t>Total hired man equivalents &gt;</t>
  </si>
  <si>
    <t>Harvest Work: avg rate / hr&gt;</t>
  </si>
  <si>
    <r>
      <t xml:space="preserve">Seasonal work: </t>
    </r>
    <r>
      <rPr>
        <i/>
        <sz val="10"/>
        <rFont val="Arial"/>
        <family val="2"/>
      </rPr>
      <t>avg rate / hr &gt;</t>
    </r>
  </si>
  <si>
    <t>Bearing acres per hired worker</t>
  </si>
  <si>
    <t>All fruit acres per hired worker</t>
  </si>
  <si>
    <t>Accrual receipts per worker</t>
  </si>
  <si>
    <t>Worker Equivalents</t>
  </si>
  <si>
    <t>Total farm capital per bearing acre</t>
  </si>
  <si>
    <t>Total farm capital per fruit acre</t>
  </si>
  <si>
    <t>Expansion orchard expense</t>
  </si>
  <si>
    <t>Other Current assets:  personal property</t>
  </si>
  <si>
    <t xml:space="preserve">Mortgage #3 </t>
  </si>
  <si>
    <t>weeks</t>
  </si>
  <si>
    <t>hrs/week</t>
  </si>
  <si>
    <t>hrs/man</t>
  </si>
  <si>
    <t>No. of Operators based on hours</t>
  </si>
  <si>
    <t>Other: Co-op Distrib</t>
  </si>
  <si>
    <t>W O R K S H E E T   /   N O T E S</t>
  </si>
  <si>
    <t>Farm Market Inventory &gt;</t>
  </si>
  <si>
    <r>
      <t xml:space="preserve">Other Current assets: </t>
    </r>
    <r>
      <rPr>
        <i/>
        <sz val="9"/>
        <rFont val="Arial"/>
        <family val="2"/>
      </rPr>
      <t xml:space="preserve"> Nursery</t>
    </r>
  </si>
  <si>
    <t>Other:  personal</t>
  </si>
  <si>
    <t>Rootstock</t>
  </si>
  <si>
    <t>Typical hours per week for fruit farm</t>
  </si>
  <si>
    <t>Apple Acres planted this year</t>
  </si>
  <si>
    <t>Total Non-bearing Apple Acres</t>
  </si>
  <si>
    <t>Mortgage #1:</t>
  </si>
  <si>
    <t>Irrigation</t>
  </si>
  <si>
    <t>Hired Labor as a % of oper. exp. w/o deprec</t>
  </si>
  <si>
    <t>Total Accrual Exp. / Acre</t>
  </si>
  <si>
    <t>Machinery &amp; Equipment Investment</t>
  </si>
  <si>
    <t>Real Estate Investment</t>
  </si>
  <si>
    <t xml:space="preserve">Other Off-Farm Investments Related to the Farm: </t>
  </si>
  <si>
    <t>Investment in Coop &amp; Other Ag Ventures</t>
  </si>
  <si>
    <t>Total Agricultural Investments This Year</t>
  </si>
  <si>
    <t>1.5 lbs/qt.</t>
  </si>
  <si>
    <t>16 - 18</t>
  </si>
  <si>
    <t>dollars/bu.</t>
  </si>
  <si>
    <t>H-2A harvest labor</t>
  </si>
  <si>
    <t>Equipment Sold</t>
  </si>
  <si>
    <t>Tiling</t>
  </si>
  <si>
    <r>
      <t>Other:</t>
    </r>
    <r>
      <rPr>
        <b/>
        <sz val="11"/>
        <rFont val="Arial"/>
        <family val="2"/>
      </rPr>
      <t xml:space="preserve"> NYAG, LLC</t>
    </r>
    <r>
      <rPr>
        <sz val="10"/>
        <rFont val="Arial"/>
        <family val="2"/>
      </rPr>
      <t xml:space="preserve">  -</t>
    </r>
    <r>
      <rPr>
        <i/>
        <sz val="10"/>
        <rFont val="Arial"/>
        <family val="2"/>
      </rPr>
      <t xml:space="preserve"> $250 / acre</t>
    </r>
  </si>
  <si>
    <t>Short Term</t>
  </si>
  <si>
    <t>individual proprietership</t>
  </si>
  <si>
    <t>Mortgage #2 :</t>
  </si>
  <si>
    <t xml:space="preserve">Equip Loan #2 </t>
  </si>
  <si>
    <t>Capital Line #2</t>
  </si>
  <si>
    <t>Capital Line #3</t>
  </si>
  <si>
    <t>NYS Labor Camp Loan #1</t>
  </si>
  <si>
    <t>NYS Labor Camp Loan #2</t>
  </si>
  <si>
    <t>Agri-Credit Loan</t>
  </si>
  <si>
    <t>Wells Fargo Loan</t>
  </si>
  <si>
    <t>Long Term Loan #1 -</t>
  </si>
  <si>
    <t>ubnits</t>
  </si>
  <si>
    <t>Posts purchased for new plantings</t>
  </si>
  <si>
    <t>Trees purchased for new plantings</t>
  </si>
  <si>
    <t>Operating Line 1 -</t>
  </si>
  <si>
    <t>Operating Line 2 -</t>
  </si>
  <si>
    <t>Equip Loan #1  (JD,CNH, Kubota)</t>
  </si>
  <si>
    <t>Pick-up Truck Loan</t>
  </si>
  <si>
    <t>Nursery Tree Deposits</t>
  </si>
  <si>
    <t>Wire &amp; hardware for trellis</t>
  </si>
  <si>
    <t>Per bearing Acre &gt;</t>
  </si>
  <si>
    <t xml:space="preserve"> gain / loss by year end &gt;</t>
  </si>
  <si>
    <t>Spray chemicals</t>
  </si>
  <si>
    <t>2014</t>
  </si>
  <si>
    <t xml:space="preserve">     copy previous years information to the cells below</t>
  </si>
  <si>
    <r>
      <t xml:space="preserve">Grower Template with Worksheets for Analyzing Your Farm Business  </t>
    </r>
    <r>
      <rPr>
        <sz val="11"/>
        <rFont val="Arial"/>
        <family val="2"/>
      </rPr>
      <t xml:space="preserve">  INSTRUCTIONS</t>
    </r>
  </si>
  <si>
    <t>6. If you have any questions about this template please</t>
  </si>
  <si>
    <t xml:space="preserve">    contact: Alison DeMarree at: amd15@cornell.edu</t>
  </si>
  <si>
    <t xml:space="preserve">    or your regional extension specialist.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</si>
</sst>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164" formatCode="&quot;$&quot;#,##0"/>
    <numFmt numFmtId="165" formatCode="&quot;$&quot;#,##0.00"/>
    <numFmt numFmtId="166" formatCode="0.0%"/>
    <numFmt numFmtId="167" formatCode="#,##0.0"/>
    <numFmt numFmtId="168" formatCode="&quot;$&quot;#,##0.0000"/>
    <numFmt numFmtId="169" formatCode="0.0"/>
    <numFmt numFmtId="170" formatCode="0.0000"/>
    <numFmt numFmtId="171" formatCode="dd\-mmm\-yy"/>
    <numFmt numFmtId="172" formatCode="[$-409]mmm\-yy;@"/>
    <numFmt numFmtId="173" formatCode="mm/dd/yy;@"/>
    <numFmt numFmtId="174" formatCode="[$-409]d\-mmm;@"/>
    <numFmt numFmtId="175" formatCode="[$-409]mmmm\ d\,\ yyyy;@"/>
    <numFmt numFmtId="176" formatCode="m/d/yy;@"/>
    <numFmt numFmtId="177" formatCode="[$-409]d\-mmm\-yy;@"/>
    <numFmt numFmtId="178" formatCode="#,##0.00;[Red]#,##0.00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18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0" fillId="0" borderId="3" xfId="0" applyBorder="1"/>
    <xf numFmtId="164" fontId="2" fillId="0" borderId="0" xfId="0" applyNumberFormat="1" applyFont="1" applyBorder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5" fillId="0" borderId="1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/>
    <xf numFmtId="164" fontId="2" fillId="0" borderId="6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0" fillId="0" borderId="2" xfId="0" applyBorder="1"/>
    <xf numFmtId="3" fontId="0" fillId="0" borderId="0" xfId="0" applyNumberFormat="1" applyBorder="1"/>
    <xf numFmtId="0" fontId="4" fillId="0" borderId="8" xfId="0" applyFont="1" applyBorder="1"/>
    <xf numFmtId="0" fontId="0" fillId="0" borderId="7" xfId="0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0" xfId="0" applyNumberFormat="1" applyProtection="1">
      <protection locked="0"/>
    </xf>
    <xf numFmtId="164" fontId="0" fillId="0" borderId="0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0" fontId="4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0" xfId="0" applyFont="1" applyBorder="1" applyProtection="1">
      <protection locked="0"/>
    </xf>
    <xf numFmtId="0" fontId="3" fillId="0" borderId="6" xfId="0" applyFont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right"/>
    </xf>
    <xf numFmtId="0" fontId="6" fillId="0" borderId="0" xfId="0" applyFont="1"/>
    <xf numFmtId="0" fontId="2" fillId="0" borderId="0" xfId="0" applyFont="1" applyFill="1" applyBorder="1"/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Protection="1">
      <protection locked="0"/>
    </xf>
    <xf numFmtId="4" fontId="0" fillId="0" borderId="0" xfId="0" applyNumberFormat="1"/>
    <xf numFmtId="4" fontId="2" fillId="0" borderId="0" xfId="0" applyNumberFormat="1" applyFont="1"/>
    <xf numFmtId="164" fontId="5" fillId="0" borderId="0" xfId="0" applyNumberFormat="1" applyFont="1"/>
    <xf numFmtId="0" fontId="0" fillId="0" borderId="6" xfId="0" applyBorder="1"/>
    <xf numFmtId="4" fontId="2" fillId="0" borderId="6" xfId="0" applyNumberFormat="1" applyFont="1" applyBorder="1"/>
    <xf numFmtId="0" fontId="2" fillId="0" borderId="6" xfId="0" applyFont="1" applyBorder="1"/>
    <xf numFmtId="0" fontId="0" fillId="0" borderId="0" xfId="0" applyFill="1" applyBorder="1"/>
    <xf numFmtId="0" fontId="0" fillId="0" borderId="0" xfId="0" applyAlignment="1">
      <alignment horizontal="left"/>
    </xf>
    <xf numFmtId="3" fontId="0" fillId="0" borderId="6" xfId="0" applyNumberFormat="1" applyBorder="1"/>
    <xf numFmtId="164" fontId="0" fillId="0" borderId="6" xfId="0" applyNumberFormat="1" applyBorder="1"/>
    <xf numFmtId="0" fontId="5" fillId="0" borderId="0" xfId="0" applyFont="1"/>
    <xf numFmtId="165" fontId="0" fillId="0" borderId="0" xfId="0" applyNumberFormat="1"/>
    <xf numFmtId="0" fontId="0" fillId="0" borderId="10" xfId="0" applyBorder="1"/>
    <xf numFmtId="0" fontId="2" fillId="0" borderId="10" xfId="0" applyFont="1" applyBorder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0" fillId="0" borderId="0" xfId="0" applyNumberFormat="1" applyBorder="1"/>
    <xf numFmtId="0" fontId="0" fillId="0" borderId="8" xfId="0" applyBorder="1"/>
    <xf numFmtId="164" fontId="0" fillId="0" borderId="0" xfId="0" applyNumberFormat="1" applyBorder="1"/>
    <xf numFmtId="165" fontId="0" fillId="0" borderId="0" xfId="0" applyNumberFormat="1" applyBorder="1"/>
    <xf numFmtId="165" fontId="2" fillId="0" borderId="6" xfId="0" applyNumberFormat="1" applyFont="1" applyBorder="1"/>
    <xf numFmtId="165" fontId="2" fillId="0" borderId="0" xfId="0" applyNumberFormat="1" applyFont="1" applyBorder="1"/>
    <xf numFmtId="165" fontId="0" fillId="0" borderId="6" xfId="0" applyNumberFormat="1" applyBorder="1"/>
    <xf numFmtId="0" fontId="2" fillId="0" borderId="10" xfId="0" applyFont="1" applyBorder="1" applyAlignment="1">
      <alignment horizontal="center"/>
    </xf>
    <xf numFmtId="0" fontId="5" fillId="0" borderId="0" xfId="0" applyFont="1" applyBorder="1"/>
    <xf numFmtId="0" fontId="7" fillId="0" borderId="1" xfId="0" applyFont="1" applyBorder="1" applyAlignment="1">
      <alignment horizontal="center"/>
    </xf>
    <xf numFmtId="3" fontId="5" fillId="0" borderId="0" xfId="0" applyNumberFormat="1" applyFont="1"/>
    <xf numFmtId="165" fontId="5" fillId="0" borderId="0" xfId="0" applyNumberFormat="1" applyFont="1"/>
    <xf numFmtId="164" fontId="7" fillId="0" borderId="6" xfId="0" applyNumberFormat="1" applyFont="1" applyBorder="1"/>
    <xf numFmtId="3" fontId="5" fillId="0" borderId="0" xfId="0" applyNumberFormat="1" applyFont="1" applyBorder="1"/>
    <xf numFmtId="165" fontId="5" fillId="0" borderId="0" xfId="0" applyNumberFormat="1" applyFont="1" applyBorder="1"/>
    <xf numFmtId="0" fontId="5" fillId="0" borderId="5" xfId="0" applyFont="1" applyBorder="1"/>
    <xf numFmtId="0" fontId="5" fillId="0" borderId="3" xfId="0" applyFont="1" applyBorder="1"/>
    <xf numFmtId="164" fontId="0" fillId="0" borderId="1" xfId="0" applyNumberFormat="1" applyBorder="1"/>
    <xf numFmtId="164" fontId="6" fillId="0" borderId="2" xfId="0" applyNumberFormat="1" applyFont="1" applyBorder="1"/>
    <xf numFmtId="164" fontId="2" fillId="0" borderId="2" xfId="0" applyNumberFormat="1" applyFont="1" applyBorder="1"/>
    <xf numFmtId="164" fontId="2" fillId="0" borderId="8" xfId="0" applyNumberFormat="1" applyFont="1" applyBorder="1"/>
    <xf numFmtId="0" fontId="5" fillId="0" borderId="4" xfId="0" applyFont="1" applyBorder="1"/>
    <xf numFmtId="164" fontId="5" fillId="0" borderId="6" xfId="0" applyNumberFormat="1" applyFont="1" applyBorder="1"/>
    <xf numFmtId="0" fontId="7" fillId="0" borderId="0" xfId="0" applyFont="1" applyBorder="1"/>
    <xf numFmtId="0" fontId="4" fillId="0" borderId="3" xfId="0" applyFont="1" applyBorder="1" applyAlignment="1">
      <alignment horizontal="center"/>
    </xf>
    <xf numFmtId="3" fontId="0" fillId="0" borderId="6" xfId="0" applyNumberFormat="1" applyBorder="1" applyProtection="1">
      <protection locked="0"/>
    </xf>
    <xf numFmtId="3" fontId="5" fillId="0" borderId="6" xfId="0" applyNumberFormat="1" applyFont="1" applyBorder="1"/>
    <xf numFmtId="0" fontId="3" fillId="0" borderId="6" xfId="0" applyFont="1" applyBorder="1"/>
    <xf numFmtId="164" fontId="6" fillId="0" borderId="8" xfId="0" applyNumberFormat="1" applyFont="1" applyBorder="1"/>
    <xf numFmtId="4" fontId="5" fillId="0" borderId="0" xfId="0" applyNumberFormat="1" applyFont="1"/>
    <xf numFmtId="165" fontId="4" fillId="0" borderId="6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67" fontId="0" fillId="0" borderId="0" xfId="0" applyNumberFormat="1"/>
    <xf numFmtId="164" fontId="3" fillId="0" borderId="0" xfId="0" applyNumberFormat="1" applyFont="1" applyBorder="1"/>
    <xf numFmtId="167" fontId="5" fillId="0" borderId="0" xfId="0" applyNumberFormat="1" applyFont="1" applyBorder="1"/>
    <xf numFmtId="167" fontId="3" fillId="0" borderId="0" xfId="0" applyNumberFormat="1" applyFont="1" applyBorder="1"/>
    <xf numFmtId="164" fontId="4" fillId="0" borderId="6" xfId="0" applyNumberFormat="1" applyFont="1" applyBorder="1"/>
    <xf numFmtId="167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4" xfId="0" applyFont="1" applyBorder="1" applyAlignment="1">
      <alignment horizontal="center"/>
    </xf>
    <xf numFmtId="0" fontId="6" fillId="0" borderId="6" xfId="0" applyFont="1" applyBorder="1"/>
    <xf numFmtId="164" fontId="4" fillId="0" borderId="0" xfId="0" applyNumberFormat="1" applyFont="1" applyBorder="1"/>
    <xf numFmtId="164" fontId="10" fillId="0" borderId="0" xfId="0" applyNumberFormat="1" applyFont="1" applyBorder="1"/>
    <xf numFmtId="0" fontId="0" fillId="0" borderId="0" xfId="0" applyFill="1"/>
    <xf numFmtId="4" fontId="0" fillId="0" borderId="0" xfId="0" applyNumberFormat="1" applyProtection="1">
      <protection locked="0"/>
    </xf>
    <xf numFmtId="0" fontId="0" fillId="0" borderId="6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" fillId="0" borderId="6" xfId="0" applyFont="1" applyFill="1" applyBorder="1" applyAlignment="1">
      <alignment horizontal="center"/>
    </xf>
    <xf numFmtId="166" fontId="0" fillId="0" borderId="0" xfId="0" applyNumberFormat="1"/>
    <xf numFmtId="3" fontId="0" fillId="0" borderId="13" xfId="0" applyNumberFormat="1" applyBorder="1" applyProtection="1">
      <protection locked="0"/>
    </xf>
    <xf numFmtId="0" fontId="2" fillId="0" borderId="0" xfId="0" applyFont="1" applyAlignment="1"/>
    <xf numFmtId="0" fontId="0" fillId="0" borderId="2" xfId="0" applyFill="1" applyBorder="1"/>
    <xf numFmtId="3" fontId="2" fillId="0" borderId="9" xfId="0" applyNumberFormat="1" applyFont="1" applyBorder="1"/>
    <xf numFmtId="0" fontId="2" fillId="0" borderId="7" xfId="0" applyFont="1" applyBorder="1"/>
    <xf numFmtId="0" fontId="0" fillId="0" borderId="2" xfId="0" applyFill="1" applyBorder="1" applyProtection="1">
      <protection locked="0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2" fillId="0" borderId="6" xfId="0" applyFont="1" applyBorder="1" applyAlignment="1"/>
    <xf numFmtId="4" fontId="2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170" fontId="0" fillId="0" borderId="0" xfId="0" applyNumberFormat="1"/>
    <xf numFmtId="170" fontId="5" fillId="0" borderId="0" xfId="0" applyNumberFormat="1" applyFont="1" applyBorder="1"/>
    <xf numFmtId="170" fontId="5" fillId="0" borderId="6" xfId="0" applyNumberFormat="1" applyFont="1" applyBorder="1"/>
    <xf numFmtId="0" fontId="3" fillId="0" borderId="0" xfId="0" applyFont="1" applyFill="1" applyBorder="1"/>
    <xf numFmtId="3" fontId="0" fillId="0" borderId="2" xfId="0" applyNumberFormat="1" applyBorder="1" applyAlignment="1">
      <alignment horizontal="center"/>
    </xf>
    <xf numFmtId="3" fontId="5" fillId="0" borderId="3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6" xfId="0" applyFont="1" applyFill="1" applyBorder="1"/>
    <xf numFmtId="3" fontId="0" fillId="0" borderId="0" xfId="0" applyNumberFormat="1" applyProtection="1"/>
    <xf numFmtId="3" fontId="0" fillId="0" borderId="6" xfId="0" applyNumberFormat="1" applyBorder="1" applyProtection="1"/>
    <xf numFmtId="164" fontId="0" fillId="0" borderId="0" xfId="0" applyNumberFormat="1" applyProtection="1"/>
    <xf numFmtId="164" fontId="0" fillId="0" borderId="6" xfId="0" applyNumberFormat="1" applyBorder="1" applyProtection="1"/>
    <xf numFmtId="164" fontId="2" fillId="0" borderId="0" xfId="0" applyNumberFormat="1" applyFont="1" applyBorder="1" applyProtection="1"/>
    <xf numFmtId="0" fontId="0" fillId="0" borderId="0" xfId="0" applyBorder="1" applyAlignment="1">
      <alignment horizontal="center"/>
    </xf>
    <xf numFmtId="170" fontId="0" fillId="0" borderId="0" xfId="0" applyNumberFormat="1" applyBorder="1"/>
    <xf numFmtId="0" fontId="2" fillId="0" borderId="0" xfId="0" applyFont="1" applyBorder="1"/>
    <xf numFmtId="170" fontId="2" fillId="0" borderId="0" xfId="0" applyNumberFormat="1" applyFont="1" applyBorder="1"/>
    <xf numFmtId="0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Protection="1"/>
    <xf numFmtId="164" fontId="2" fillId="0" borderId="0" xfId="0" applyNumberFormat="1" applyFont="1" applyProtection="1"/>
    <xf numFmtId="3" fontId="0" fillId="0" borderId="2" xfId="0" applyNumberFormat="1" applyBorder="1" applyAlignment="1">
      <alignment horizontal="left"/>
    </xf>
    <xf numFmtId="4" fontId="5" fillId="0" borderId="0" xfId="0" applyNumberFormat="1" applyFont="1" applyBorder="1"/>
    <xf numFmtId="0" fontId="3" fillId="0" borderId="2" xfId="0" applyFont="1" applyBorder="1" applyProtection="1">
      <protection locked="0"/>
    </xf>
    <xf numFmtId="164" fontId="6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10" fontId="0" fillId="0" borderId="0" xfId="0" applyNumberFormat="1"/>
    <xf numFmtId="0" fontId="0" fillId="0" borderId="14" xfId="0" applyBorder="1"/>
    <xf numFmtId="0" fontId="0" fillId="0" borderId="0" xfId="0" applyProtection="1"/>
    <xf numFmtId="166" fontId="2" fillId="0" borderId="0" xfId="0" applyNumberFormat="1" applyFont="1"/>
    <xf numFmtId="4" fontId="0" fillId="0" borderId="0" xfId="0" applyNumberFormat="1" applyBorder="1" applyProtection="1">
      <protection locked="0"/>
    </xf>
    <xf numFmtId="0" fontId="0" fillId="0" borderId="1" xfId="0" applyBorder="1" applyAlignment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2" fillId="0" borderId="2" xfId="0" applyFont="1" applyBorder="1"/>
    <xf numFmtId="0" fontId="0" fillId="0" borderId="8" xfId="0" applyBorder="1" applyAlignment="1">
      <alignment horizontal="left"/>
    </xf>
    <xf numFmtId="165" fontId="5" fillId="0" borderId="6" xfId="0" applyNumberFormat="1" applyFont="1" applyBorder="1"/>
    <xf numFmtId="2" fontId="0" fillId="0" borderId="0" xfId="0" applyNumberFormat="1"/>
    <xf numFmtId="9" fontId="5" fillId="0" borderId="0" xfId="0" applyNumberFormat="1" applyFont="1" applyAlignment="1">
      <alignment horizontal="center"/>
    </xf>
    <xf numFmtId="9" fontId="5" fillId="0" borderId="6" xfId="0" applyNumberFormat="1" applyFont="1" applyBorder="1" applyAlignment="1">
      <alignment horizontal="center"/>
    </xf>
    <xf numFmtId="169" fontId="0" fillId="0" borderId="0" xfId="0" applyNumberFormat="1"/>
    <xf numFmtId="9" fontId="0" fillId="0" borderId="0" xfId="0" applyNumberFormat="1" applyFill="1" applyBorder="1" applyAlignment="1" applyProtection="1">
      <alignment horizontal="center"/>
    </xf>
    <xf numFmtId="14" fontId="0" fillId="0" borderId="0" xfId="0" applyNumberFormat="1"/>
    <xf numFmtId="0" fontId="2" fillId="0" borderId="2" xfId="0" applyFont="1" applyBorder="1" applyProtection="1">
      <protection locked="0"/>
    </xf>
    <xf numFmtId="0" fontId="0" fillId="0" borderId="7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Protection="1">
      <protection locked="0"/>
    </xf>
    <xf numFmtId="0" fontId="7" fillId="0" borderId="0" xfId="0" applyFont="1" applyAlignment="1">
      <alignment horizontal="center"/>
    </xf>
    <xf numFmtId="164" fontId="2" fillId="0" borderId="4" xfId="0" applyNumberFormat="1" applyFont="1" applyBorder="1"/>
    <xf numFmtId="9" fontId="5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Protection="1">
      <protection locked="0"/>
    </xf>
    <xf numFmtId="0" fontId="6" fillId="0" borderId="0" xfId="0" applyFont="1" applyAlignment="1">
      <alignment horizontal="center"/>
    </xf>
    <xf numFmtId="3" fontId="5" fillId="0" borderId="5" xfId="0" applyNumberFormat="1" applyFont="1" applyBorder="1"/>
    <xf numFmtId="3" fontId="5" fillId="0" borderId="4" xfId="0" applyNumberFormat="1" applyFont="1" applyBorder="1"/>
    <xf numFmtId="3" fontId="0" fillId="0" borderId="4" xfId="0" applyNumberForma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7" xfId="0" applyFont="1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Protection="1"/>
    <xf numFmtId="164" fontId="0" fillId="0" borderId="3" xfId="0" applyNumberFormat="1" applyBorder="1"/>
    <xf numFmtId="166" fontId="2" fillId="0" borderId="6" xfId="0" applyNumberFormat="1" applyFont="1" applyBorder="1"/>
    <xf numFmtId="0" fontId="6" fillId="0" borderId="2" xfId="0" applyFont="1" applyBorder="1" applyProtection="1">
      <protection locked="0"/>
    </xf>
    <xf numFmtId="0" fontId="2" fillId="0" borderId="15" xfId="0" applyFont="1" applyBorder="1"/>
    <xf numFmtId="164" fontId="2" fillId="0" borderId="16" xfId="0" applyNumberFormat="1" applyFont="1" applyBorder="1"/>
    <xf numFmtId="0" fontId="0" fillId="0" borderId="16" xfId="0" applyBorder="1"/>
    <xf numFmtId="14" fontId="0" fillId="0" borderId="16" xfId="0" applyNumberFormat="1" applyBorder="1"/>
    <xf numFmtId="164" fontId="6" fillId="0" borderId="17" xfId="0" applyNumberFormat="1" applyFont="1" applyBorder="1"/>
    <xf numFmtId="170" fontId="7" fillId="0" borderId="0" xfId="0" applyNumberFormat="1" applyFont="1" applyBorder="1"/>
    <xf numFmtId="165" fontId="7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3" fontId="0" fillId="0" borderId="0" xfId="0" applyNumberFormat="1" applyBorder="1" applyProtection="1"/>
    <xf numFmtId="3" fontId="5" fillId="0" borderId="0" xfId="0" applyNumberFormat="1" applyFont="1" applyFill="1" applyBorder="1"/>
    <xf numFmtId="164" fontId="0" fillId="0" borderId="0" xfId="0" applyNumberFormat="1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 applyProtection="1"/>
    <xf numFmtId="164" fontId="2" fillId="0" borderId="9" xfId="0" applyNumberFormat="1" applyFont="1" applyBorder="1"/>
    <xf numFmtId="3" fontId="2" fillId="0" borderId="6" xfId="0" applyNumberFormat="1" applyFont="1" applyBorder="1" applyProtection="1"/>
    <xf numFmtId="3" fontId="2" fillId="0" borderId="6" xfId="0" applyNumberFormat="1" applyFont="1" applyBorder="1"/>
    <xf numFmtId="165" fontId="0" fillId="0" borderId="3" xfId="0" applyNumberFormat="1" applyBorder="1"/>
    <xf numFmtId="165" fontId="0" fillId="0" borderId="4" xfId="0" applyNumberFormat="1" applyBorder="1"/>
    <xf numFmtId="164" fontId="2" fillId="0" borderId="1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4" fontId="2" fillId="0" borderId="17" xfId="0" applyNumberFormat="1" applyFont="1" applyBorder="1"/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/>
    <xf numFmtId="3" fontId="0" fillId="0" borderId="18" xfId="0" applyNumberFormat="1" applyBorder="1"/>
    <xf numFmtId="3" fontId="2" fillId="0" borderId="12" xfId="0" applyNumberFormat="1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5" fontId="5" fillId="0" borderId="14" xfId="0" applyNumberFormat="1" applyFont="1" applyBorder="1"/>
    <xf numFmtId="164" fontId="3" fillId="0" borderId="10" xfId="0" applyNumberFormat="1" applyFont="1" applyBorder="1"/>
    <xf numFmtId="3" fontId="3" fillId="0" borderId="0" xfId="0" applyNumberFormat="1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9" xfId="0" applyNumberFormat="1" applyBorder="1"/>
    <xf numFmtId="164" fontId="2" fillId="0" borderId="14" xfId="0" applyNumberFormat="1" applyFont="1" applyBorder="1"/>
    <xf numFmtId="4" fontId="2" fillId="0" borderId="12" xfId="0" applyNumberFormat="1" applyFont="1" applyBorder="1"/>
    <xf numFmtId="168" fontId="2" fillId="0" borderId="6" xfId="0" applyNumberFormat="1" applyFont="1" applyBorder="1"/>
    <xf numFmtId="0" fontId="0" fillId="0" borderId="6" xfId="0" applyBorder="1" applyProtection="1"/>
    <xf numFmtId="164" fontId="0" fillId="0" borderId="0" xfId="0" applyNumberFormat="1" applyFill="1" applyBorder="1" applyProtection="1"/>
    <xf numFmtId="166" fontId="3" fillId="0" borderId="18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0" fillId="0" borderId="19" xfId="0" applyBorder="1"/>
    <xf numFmtId="4" fontId="2" fillId="0" borderId="19" xfId="0" applyNumberFormat="1" applyFont="1" applyBorder="1"/>
    <xf numFmtId="0" fontId="5" fillId="0" borderId="0" xfId="0" applyFont="1" applyFill="1" applyBorder="1"/>
    <xf numFmtId="0" fontId="5" fillId="0" borderId="0" xfId="0" applyFont="1" applyFill="1" applyProtection="1">
      <protection locked="0"/>
    </xf>
    <xf numFmtId="0" fontId="4" fillId="0" borderId="0" xfId="0" applyFont="1" applyFill="1" applyBorder="1"/>
    <xf numFmtId="0" fontId="5" fillId="0" borderId="6" xfId="0" applyFont="1" applyBorder="1" applyAlignment="1" applyProtection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0" fillId="0" borderId="0" xfId="0" applyBorder="1" applyProtection="1"/>
    <xf numFmtId="0" fontId="12" fillId="0" borderId="0" xfId="0" applyFont="1" applyAlignment="1">
      <alignment horizontal="center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13" fillId="0" borderId="0" xfId="0" applyFont="1"/>
    <xf numFmtId="3" fontId="0" fillId="0" borderId="12" xfId="0" applyNumberFormat="1" applyBorder="1"/>
    <xf numFmtId="0" fontId="12" fillId="0" borderId="0" xfId="0" applyFont="1"/>
    <xf numFmtId="0" fontId="2" fillId="0" borderId="19" xfId="0" applyFont="1" applyBorder="1"/>
    <xf numFmtId="2" fontId="2" fillId="0" borderId="6" xfId="0" applyNumberFormat="1" applyFont="1" applyBorder="1"/>
    <xf numFmtId="0" fontId="2" fillId="0" borderId="4" xfId="0" applyFont="1" applyFill="1" applyBorder="1" applyAlignment="1">
      <alignment horizontal="center"/>
    </xf>
    <xf numFmtId="169" fontId="2" fillId="0" borderId="4" xfId="0" applyNumberFormat="1" applyFont="1" applyBorder="1"/>
    <xf numFmtId="0" fontId="7" fillId="0" borderId="1" xfId="0" applyFont="1" applyBorder="1"/>
    <xf numFmtId="3" fontId="3" fillId="0" borderId="1" xfId="0" applyNumberFormat="1" applyFont="1" applyBorder="1"/>
    <xf numFmtId="3" fontId="0" fillId="0" borderId="9" xfId="0" applyNumberFormat="1" applyBorder="1"/>
    <xf numFmtId="0" fontId="11" fillId="0" borderId="6" xfId="0" applyFont="1" applyBorder="1"/>
    <xf numFmtId="173" fontId="14" fillId="0" borderId="4" xfId="0" applyNumberFormat="1" applyFont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" fontId="0" fillId="0" borderId="0" xfId="0" applyNumberFormat="1" applyFill="1"/>
    <xf numFmtId="0" fontId="0" fillId="2" borderId="13" xfId="0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3" fontId="0" fillId="2" borderId="0" xfId="0" applyNumberForma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3" fontId="0" fillId="2" borderId="13" xfId="0" applyNumberFormat="1" applyFill="1" applyBorder="1" applyProtection="1">
      <protection locked="0"/>
    </xf>
    <xf numFmtId="3" fontId="0" fillId="0" borderId="0" xfId="0" applyNumberFormat="1" applyFill="1" applyProtection="1"/>
    <xf numFmtId="0" fontId="15" fillId="0" borderId="0" xfId="0" applyFont="1"/>
    <xf numFmtId="0" fontId="16" fillId="0" borderId="0" xfId="0" applyFont="1"/>
    <xf numFmtId="3" fontId="2" fillId="0" borderId="13" xfId="0" applyNumberFormat="1" applyFont="1" applyBorder="1"/>
    <xf numFmtId="3" fontId="0" fillId="0" borderId="13" xfId="0" applyNumberFormat="1" applyBorder="1"/>
    <xf numFmtId="164" fontId="3" fillId="2" borderId="13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2" borderId="20" xfId="0" applyNumberForma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/>
    </xf>
    <xf numFmtId="4" fontId="0" fillId="0" borderId="0" xfId="0" applyNumberFormat="1" applyBorder="1"/>
    <xf numFmtId="0" fontId="0" fillId="0" borderId="6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3" fontId="0" fillId="0" borderId="5" xfId="0" applyNumberFormat="1" applyBorder="1" applyProtection="1"/>
    <xf numFmtId="3" fontId="0" fillId="0" borderId="4" xfId="0" applyNumberFormat="1" applyBorder="1" applyProtection="1"/>
    <xf numFmtId="3" fontId="0" fillId="0" borderId="3" xfId="0" applyNumberFormat="1" applyBorder="1" applyProtection="1"/>
    <xf numFmtId="3" fontId="2" fillId="0" borderId="4" xfId="0" applyNumberFormat="1" applyFont="1" applyBorder="1" applyProtection="1"/>
    <xf numFmtId="174" fontId="2" fillId="0" borderId="6" xfId="0" applyNumberFormat="1" applyFont="1" applyBorder="1"/>
    <xf numFmtId="175" fontId="0" fillId="2" borderId="13" xfId="0" applyNumberFormat="1" applyFill="1" applyBorder="1" applyAlignment="1" applyProtection="1">
      <alignment horizontal="center"/>
      <protection locked="0"/>
    </xf>
    <xf numFmtId="174" fontId="0" fillId="0" borderId="0" xfId="0" applyNumberFormat="1" applyBorder="1" applyAlignment="1">
      <alignment horizontal="center"/>
    </xf>
    <xf numFmtId="169" fontId="0" fillId="0" borderId="6" xfId="0" applyNumberForma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72" fontId="14" fillId="0" borderId="4" xfId="0" applyNumberFormat="1" applyFont="1" applyBorder="1" applyAlignment="1" applyProtection="1">
      <alignment horizontal="center"/>
      <protection locked="0"/>
    </xf>
    <xf numFmtId="172" fontId="14" fillId="0" borderId="3" xfId="0" applyNumberFormat="1" applyFont="1" applyBorder="1" applyAlignment="1" applyProtection="1">
      <alignment horizontal="center"/>
      <protection locked="0"/>
    </xf>
    <xf numFmtId="3" fontId="15" fillId="0" borderId="8" xfId="0" applyNumberFormat="1" applyFont="1" applyBorder="1" applyAlignment="1" applyProtection="1">
      <alignment horizontal="center"/>
      <protection locked="0"/>
    </xf>
    <xf numFmtId="3" fontId="15" fillId="0" borderId="2" xfId="0" applyNumberFormat="1" applyFont="1" applyBorder="1" applyAlignment="1" applyProtection="1">
      <alignment horizontal="center"/>
      <protection locked="0"/>
    </xf>
    <xf numFmtId="3" fontId="0" fillId="0" borderId="0" xfId="0" applyNumberFormat="1" applyFill="1" applyBorder="1"/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15" fillId="0" borderId="6" xfId="0" applyFont="1" applyBorder="1" applyProtection="1">
      <protection locked="0"/>
    </xf>
    <xf numFmtId="4" fontId="0" fillId="3" borderId="6" xfId="0" applyNumberFormat="1" applyFill="1" applyBorder="1" applyProtection="1">
      <protection locked="0"/>
    </xf>
    <xf numFmtId="167" fontId="1" fillId="0" borderId="0" xfId="0" applyNumberFormat="1" applyFont="1" applyFill="1" applyBorder="1"/>
    <xf numFmtId="3" fontId="17" fillId="0" borderId="18" xfId="0" applyNumberFormat="1" applyFont="1" applyFill="1" applyBorder="1"/>
    <xf numFmtId="176" fontId="0" fillId="2" borderId="13" xfId="0" applyNumberFormat="1" applyFill="1" applyBorder="1"/>
    <xf numFmtId="3" fontId="6" fillId="2" borderId="13" xfId="0" applyNumberFormat="1" applyFont="1" applyFill="1" applyBorder="1" applyProtection="1">
      <protection locked="0"/>
    </xf>
    <xf numFmtId="4" fontId="6" fillId="2" borderId="13" xfId="0" applyNumberFormat="1" applyFont="1" applyFill="1" applyBorder="1" applyProtection="1">
      <protection locked="0"/>
    </xf>
    <xf numFmtId="4" fontId="6" fillId="2" borderId="8" xfId="0" applyNumberFormat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4" xfId="0" applyFont="1" applyFill="1" applyBorder="1" applyProtection="1"/>
    <xf numFmtId="0" fontId="3" fillId="0" borderId="14" xfId="0" applyFont="1" applyFill="1" applyBorder="1" applyProtection="1"/>
    <xf numFmtId="0" fontId="3" fillId="0" borderId="6" xfId="0" applyFont="1" applyFill="1" applyBorder="1" applyProtection="1"/>
    <xf numFmtId="4" fontId="0" fillId="2" borderId="13" xfId="0" applyNumberForma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10" fontId="7" fillId="0" borderId="0" xfId="0" applyNumberFormat="1" applyFont="1" applyBorder="1"/>
    <xf numFmtId="6" fontId="0" fillId="2" borderId="5" xfId="0" applyNumberFormat="1" applyFill="1" applyBorder="1" applyProtection="1">
      <protection locked="0"/>
    </xf>
    <xf numFmtId="165" fontId="0" fillId="0" borderId="0" xfId="0" applyNumberFormat="1" applyAlignment="1">
      <alignment horizontal="center"/>
    </xf>
    <xf numFmtId="167" fontId="15" fillId="0" borderId="14" xfId="0" applyNumberFormat="1" applyFont="1" applyBorder="1"/>
    <xf numFmtId="0" fontId="15" fillId="5" borderId="9" xfId="0" applyFont="1" applyFill="1" applyBorder="1" applyAlignment="1" applyProtection="1">
      <alignment horizontal="center"/>
      <protection locked="0"/>
    </xf>
    <xf numFmtId="0" fontId="15" fillId="5" borderId="9" xfId="0" applyFont="1" applyFill="1" applyBorder="1" applyAlignment="1" applyProtection="1">
      <alignment horizontal="left"/>
      <protection locked="0"/>
    </xf>
    <xf numFmtId="3" fontId="0" fillId="2" borderId="13" xfId="0" applyNumberForma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0" fillId="4" borderId="6" xfId="0" applyFill="1" applyBorder="1" applyProtection="1">
      <protection locked="0"/>
    </xf>
    <xf numFmtId="0" fontId="0" fillId="4" borderId="13" xfId="0" applyFill="1" applyBorder="1" applyProtection="1">
      <protection locked="0"/>
    </xf>
    <xf numFmtId="3" fontId="5" fillId="0" borderId="2" xfId="0" applyNumberFormat="1" applyFont="1" applyBorder="1"/>
    <xf numFmtId="164" fontId="5" fillId="0" borderId="3" xfId="0" applyNumberFormat="1" applyFont="1" applyBorder="1" applyAlignment="1">
      <alignment horizontal="center"/>
    </xf>
    <xf numFmtId="3" fontId="5" fillId="0" borderId="8" xfId="0" applyNumberFormat="1" applyFont="1" applyBorder="1"/>
    <xf numFmtId="164" fontId="5" fillId="0" borderId="4" xfId="0" applyNumberFormat="1" applyFont="1" applyBorder="1"/>
    <xf numFmtId="3" fontId="0" fillId="4" borderId="6" xfId="0" applyNumberFormat="1" applyFill="1" applyBorder="1" applyProtection="1">
      <protection locked="0"/>
    </xf>
    <xf numFmtId="3" fontId="0" fillId="4" borderId="9" xfId="0" applyNumberFormat="1" applyFill="1" applyBorder="1" applyProtection="1">
      <protection locked="0"/>
    </xf>
    <xf numFmtId="164" fontId="0" fillId="0" borderId="13" xfId="0" applyNumberFormat="1" applyBorder="1"/>
    <xf numFmtId="164" fontId="0" fillId="4" borderId="13" xfId="0" applyNumberFormat="1" applyFill="1" applyBorder="1" applyProtection="1">
      <protection locked="0"/>
    </xf>
    <xf numFmtId="164" fontId="14" fillId="0" borderId="0" xfId="0" applyNumberFormat="1" applyFont="1" applyProtection="1"/>
    <xf numFmtId="164" fontId="14" fillId="0" borderId="6" xfId="0" applyNumberFormat="1" applyFont="1" applyBorder="1" applyProtection="1"/>
    <xf numFmtId="164" fontId="18" fillId="0" borderId="0" xfId="0" applyNumberFormat="1" applyFont="1" applyProtection="1"/>
    <xf numFmtId="164" fontId="14" fillId="0" borderId="0" xfId="0" applyNumberFormat="1" applyFont="1" applyBorder="1" applyProtection="1"/>
    <xf numFmtId="164" fontId="18" fillId="0" borderId="0" xfId="0" applyNumberFormat="1" applyFont="1" applyBorder="1" applyProtection="1"/>
    <xf numFmtId="4" fontId="14" fillId="2" borderId="13" xfId="0" applyNumberFormat="1" applyFont="1" applyFill="1" applyBorder="1" applyProtection="1">
      <protection locked="0"/>
    </xf>
    <xf numFmtId="3" fontId="2" fillId="0" borderId="0" xfId="0" applyNumberFormat="1" applyFont="1" applyAlignment="1">
      <alignment horizontal="center"/>
    </xf>
    <xf numFmtId="3" fontId="6" fillId="0" borderId="6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6" xfId="0" applyNumberFormat="1" applyFont="1" applyBorder="1"/>
    <xf numFmtId="167" fontId="0" fillId="0" borderId="0" xfId="0" applyNumberFormat="1" applyBorder="1" applyAlignment="1">
      <alignment horizontal="center"/>
    </xf>
    <xf numFmtId="0" fontId="0" fillId="0" borderId="18" xfId="0" applyBorder="1" applyProtection="1">
      <protection locked="0"/>
    </xf>
    <xf numFmtId="49" fontId="2" fillId="0" borderId="6" xfId="0" applyNumberFormat="1" applyFont="1" applyBorder="1" applyAlignment="1">
      <alignment horizontal="center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/>
    </xf>
    <xf numFmtId="170" fontId="0" fillId="0" borderId="0" xfId="0" applyNumberFormat="1" applyProtection="1">
      <protection locked="0"/>
    </xf>
    <xf numFmtId="167" fontId="14" fillId="2" borderId="13" xfId="0" applyNumberFormat="1" applyFont="1" applyFill="1" applyBorder="1" applyProtection="1">
      <protection locked="0"/>
    </xf>
    <xf numFmtId="3" fontId="14" fillId="2" borderId="13" xfId="0" applyNumberFormat="1" applyFont="1" applyFill="1" applyBorder="1" applyProtection="1">
      <protection locked="0"/>
    </xf>
    <xf numFmtId="167" fontId="14" fillId="0" borderId="0" xfId="0" applyNumberFormat="1" applyFont="1"/>
    <xf numFmtId="0" fontId="14" fillId="0" borderId="0" xfId="0" applyFont="1"/>
    <xf numFmtId="167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167" fontId="14" fillId="0" borderId="0" xfId="0" applyNumberFormat="1" applyFont="1" applyFill="1"/>
    <xf numFmtId="0" fontId="14" fillId="0" borderId="0" xfId="0" applyFont="1" applyFill="1"/>
    <xf numFmtId="167" fontId="14" fillId="0" borderId="0" xfId="0" applyNumberFormat="1" applyFont="1" applyBorder="1" applyProtection="1">
      <protection locked="0"/>
    </xf>
    <xf numFmtId="3" fontId="14" fillId="0" borderId="0" xfId="0" applyNumberFormat="1" applyFont="1" applyBorder="1" applyProtection="1">
      <protection locked="0"/>
    </xf>
    <xf numFmtId="3" fontId="14" fillId="0" borderId="0" xfId="0" applyNumberFormat="1" applyFont="1" applyBorder="1"/>
    <xf numFmtId="3" fontId="14" fillId="0" borderId="6" xfId="0" applyNumberFormat="1" applyFont="1" applyBorder="1"/>
    <xf numFmtId="3" fontId="14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4" fontId="18" fillId="0" borderId="0" xfId="0" applyNumberFormat="1" applyFont="1"/>
    <xf numFmtId="3" fontId="14" fillId="0" borderId="14" xfId="0" applyNumberFormat="1" applyFont="1" applyBorder="1"/>
    <xf numFmtId="3" fontId="18" fillId="0" borderId="0" xfId="0" applyNumberFormat="1" applyFont="1" applyBorder="1" applyProtection="1">
      <protection locked="0"/>
    </xf>
    <xf numFmtId="0" fontId="0" fillId="0" borderId="6" xfId="0" applyFill="1" applyBorder="1" applyProtection="1"/>
    <xf numFmtId="0" fontId="2" fillId="0" borderId="6" xfId="0" applyFont="1" applyBorder="1" applyAlignment="1">
      <alignment horizontal="left"/>
    </xf>
    <xf numFmtId="4" fontId="6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6" xfId="0" applyNumberFormat="1" applyBorder="1"/>
    <xf numFmtId="4" fontId="6" fillId="0" borderId="6" xfId="0" applyNumberFormat="1" applyFont="1" applyBorder="1"/>
    <xf numFmtId="3" fontId="0" fillId="0" borderId="1" xfId="0" applyNumberFormat="1" applyBorder="1"/>
    <xf numFmtId="3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3" fontId="6" fillId="0" borderId="0" xfId="0" applyNumberFormat="1" applyFont="1" applyBorder="1"/>
    <xf numFmtId="0" fontId="10" fillId="0" borderId="6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7" fillId="0" borderId="6" xfId="0" applyFont="1" applyBorder="1"/>
    <xf numFmtId="167" fontId="3" fillId="0" borderId="0" xfId="0" applyNumberFormat="1" applyFont="1" applyBorder="1" applyAlignment="1">
      <alignment horizontal="center"/>
    </xf>
    <xf numFmtId="3" fontId="0" fillId="2" borderId="6" xfId="0" applyNumberFormat="1" applyFill="1" applyBorder="1" applyProtection="1">
      <protection locked="0"/>
    </xf>
    <xf numFmtId="3" fontId="6" fillId="0" borderId="0" xfId="0" applyNumberFormat="1" applyFont="1" applyBorder="1" applyProtection="1"/>
    <xf numFmtId="3" fontId="4" fillId="0" borderId="1" xfId="0" applyNumberFormat="1" applyFont="1" applyBorder="1" applyAlignment="1">
      <alignment horizontal="center"/>
    </xf>
    <xf numFmtId="3" fontId="2" fillId="0" borderId="5" xfId="0" applyNumberFormat="1" applyFont="1" applyBorder="1" applyAlignment="1" applyProtection="1">
      <alignment horizontal="center"/>
    </xf>
    <xf numFmtId="3" fontId="2" fillId="0" borderId="4" xfId="0" applyNumberFormat="1" applyFont="1" applyBorder="1" applyAlignment="1" applyProtection="1">
      <alignment horizontal="center"/>
    </xf>
    <xf numFmtId="164" fontId="0" fillId="2" borderId="6" xfId="0" applyNumberFormat="1" applyFill="1" applyBorder="1" applyProtection="1">
      <protection locked="0"/>
    </xf>
    <xf numFmtId="165" fontId="14" fillId="0" borderId="0" xfId="0" applyNumberFormat="1" applyFont="1"/>
    <xf numFmtId="0" fontId="3" fillId="5" borderId="0" xfId="0" applyFont="1" applyFill="1" applyBorder="1" applyProtection="1">
      <protection locked="0"/>
    </xf>
    <xf numFmtId="0" fontId="15" fillId="0" borderId="0" xfId="0" applyFont="1" applyBorder="1"/>
    <xf numFmtId="164" fontId="0" fillId="2" borderId="11" xfId="0" applyNumberFormat="1" applyFill="1" applyBorder="1" applyProtection="1">
      <protection locked="0"/>
    </xf>
    <xf numFmtId="0" fontId="4" fillId="0" borderId="7" xfId="0" applyFont="1" applyFill="1" applyBorder="1"/>
    <xf numFmtId="0" fontId="3" fillId="0" borderId="5" xfId="0" applyFont="1" applyBorder="1"/>
    <xf numFmtId="164" fontId="6" fillId="0" borderId="6" xfId="0" applyNumberFormat="1" applyFont="1" applyBorder="1"/>
    <xf numFmtId="0" fontId="5" fillId="0" borderId="8" xfId="0" applyFont="1" applyFill="1" applyBorder="1" applyAlignment="1">
      <alignment horizontal="center"/>
    </xf>
    <xf numFmtId="3" fontId="14" fillId="0" borderId="2" xfId="0" applyNumberFormat="1" applyFont="1" applyBorder="1"/>
    <xf numFmtId="3" fontId="14" fillId="0" borderId="8" xfId="0" applyNumberFormat="1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" fontId="15" fillId="2" borderId="13" xfId="0" applyNumberFormat="1" applyFont="1" applyFill="1" applyBorder="1" applyProtection="1">
      <protection locked="0"/>
    </xf>
    <xf numFmtId="3" fontId="3" fillId="2" borderId="13" xfId="0" applyNumberFormat="1" applyFont="1" applyFill="1" applyBorder="1" applyProtection="1">
      <protection locked="0"/>
    </xf>
    <xf numFmtId="164" fontId="15" fillId="0" borderId="0" xfId="0" applyNumberFormat="1" applyFont="1"/>
    <xf numFmtId="164" fontId="14" fillId="0" borderId="0" xfId="0" applyNumberFormat="1" applyFont="1" applyBorder="1"/>
    <xf numFmtId="164" fontId="2" fillId="2" borderId="0" xfId="0" applyNumberFormat="1" applyFont="1" applyFill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1" fillId="0" borderId="0" xfId="0" applyNumberFormat="1" applyFont="1" applyBorder="1"/>
    <xf numFmtId="4" fontId="19" fillId="0" borderId="6" xfId="0" applyNumberFormat="1" applyFont="1" applyBorder="1"/>
    <xf numFmtId="0" fontId="20" fillId="0" borderId="1" xfId="0" applyFont="1" applyBorder="1"/>
    <xf numFmtId="4" fontId="20" fillId="0" borderId="0" xfId="0" applyNumberFormat="1" applyFont="1" applyBorder="1"/>
    <xf numFmtId="4" fontId="19" fillId="0" borderId="0" xfId="0" applyNumberFormat="1" applyFont="1"/>
    <xf numFmtId="0" fontId="0" fillId="2" borderId="9" xfId="0" applyFill="1" applyBorder="1" applyAlignment="1" applyProtection="1">
      <alignment horizontal="center"/>
      <protection locked="0"/>
    </xf>
    <xf numFmtId="0" fontId="15" fillId="0" borderId="4" xfId="0" applyFont="1" applyBorder="1"/>
    <xf numFmtId="0" fontId="4" fillId="0" borderId="8" xfId="0" applyFont="1" applyBorder="1" applyAlignment="1">
      <alignment horizontal="center"/>
    </xf>
    <xf numFmtId="3" fontId="0" fillId="0" borderId="13" xfId="0" applyNumberFormat="1" applyFill="1" applyBorder="1" applyProtection="1"/>
    <xf numFmtId="0" fontId="7" fillId="0" borderId="10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6" fontId="7" fillId="0" borderId="0" xfId="0" applyNumberFormat="1" applyFont="1" applyBorder="1"/>
    <xf numFmtId="164" fontId="0" fillId="0" borderId="0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2" fillId="0" borderId="0" xfId="0" applyNumberFormat="1" applyFont="1" applyFill="1" applyBorder="1" applyProtection="1"/>
    <xf numFmtId="164" fontId="0" fillId="5" borderId="6" xfId="0" applyNumberFormat="1" applyFill="1" applyBorder="1" applyProtection="1">
      <protection locked="0"/>
    </xf>
    <xf numFmtId="164" fontId="0" fillId="5" borderId="0" xfId="0" applyNumberFormat="1" applyFill="1" applyProtection="1">
      <protection locked="0"/>
    </xf>
    <xf numFmtId="3" fontId="15" fillId="0" borderId="0" xfId="0" applyNumberFormat="1" applyFont="1" applyProtection="1">
      <protection locked="0"/>
    </xf>
    <xf numFmtId="3" fontId="0" fillId="0" borderId="11" xfId="0" applyNumberFormat="1" applyBorder="1"/>
    <xf numFmtId="3" fontId="0" fillId="4" borderId="12" xfId="0" applyNumberFormat="1" applyFill="1" applyBorder="1" applyProtection="1">
      <protection locked="0"/>
    </xf>
    <xf numFmtId="0" fontId="3" fillId="0" borderId="0" xfId="0" applyFont="1" applyAlignment="1"/>
    <xf numFmtId="0" fontId="14" fillId="6" borderId="13" xfId="0" applyFont="1" applyFill="1" applyBorder="1" applyProtection="1">
      <protection locked="0"/>
    </xf>
    <xf numFmtId="165" fontId="14" fillId="6" borderId="5" xfId="0" applyNumberFormat="1" applyFont="1" applyFill="1" applyBorder="1" applyProtection="1">
      <protection locked="0"/>
    </xf>
    <xf numFmtId="165" fontId="14" fillId="6" borderId="2" xfId="0" applyNumberFormat="1" applyFont="1" applyFill="1" applyBorder="1" applyProtection="1">
      <protection locked="0"/>
    </xf>
    <xf numFmtId="165" fontId="14" fillId="6" borderId="13" xfId="0" applyNumberFormat="1" applyFont="1" applyFill="1" applyBorder="1" applyProtection="1">
      <protection locked="0"/>
    </xf>
    <xf numFmtId="0" fontId="21" fillId="0" borderId="18" xfId="0" applyFont="1" applyBorder="1"/>
    <xf numFmtId="0" fontId="21" fillId="0" borderId="18" xfId="0" applyFont="1" applyFill="1" applyBorder="1"/>
    <xf numFmtId="0" fontId="21" fillId="0" borderId="12" xfId="0" applyFont="1" applyFill="1" applyBorder="1"/>
    <xf numFmtId="0" fontId="22" fillId="0" borderId="13" xfId="0" applyFont="1" applyFill="1" applyBorder="1" applyAlignment="1">
      <alignment horizontal="center"/>
    </xf>
    <xf numFmtId="0" fontId="16" fillId="0" borderId="11" xfId="0" applyFont="1" applyBorder="1"/>
    <xf numFmtId="0" fontId="16" fillId="0" borderId="18" xfId="0" applyFont="1" applyBorder="1"/>
    <xf numFmtId="0" fontId="24" fillId="0" borderId="18" xfId="0" applyFont="1" applyBorder="1"/>
    <xf numFmtId="0" fontId="16" fillId="0" borderId="12" xfId="0" applyFont="1" applyBorder="1"/>
    <xf numFmtId="14" fontId="2" fillId="0" borderId="18" xfId="0" applyNumberFormat="1" applyFont="1" applyBorder="1" applyAlignment="1" applyProtection="1">
      <alignment horizontal="left"/>
      <protection locked="0"/>
    </xf>
    <xf numFmtId="0" fontId="2" fillId="0" borderId="21" xfId="0" applyFont="1" applyBorder="1"/>
    <xf numFmtId="0" fontId="22" fillId="0" borderId="0" xfId="0" applyFont="1"/>
    <xf numFmtId="3" fontId="0" fillId="2" borderId="9" xfId="0" applyNumberFormat="1" applyFill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3" fontId="5" fillId="4" borderId="10" xfId="0" applyNumberFormat="1" applyFont="1" applyFill="1" applyBorder="1" applyProtection="1">
      <protection locked="0"/>
    </xf>
    <xf numFmtId="174" fontId="2" fillId="0" borderId="12" xfId="0" applyNumberFormat="1" applyFont="1" applyBorder="1"/>
    <xf numFmtId="3" fontId="6" fillId="2" borderId="12" xfId="0" applyNumberFormat="1" applyFont="1" applyFill="1" applyBorder="1" applyProtection="1">
      <protection locked="0"/>
    </xf>
    <xf numFmtId="3" fontId="6" fillId="0" borderId="12" xfId="0" applyNumberFormat="1" applyFont="1" applyBorder="1" applyProtection="1"/>
    <xf numFmtId="3" fontId="2" fillId="0" borderId="12" xfId="0" applyNumberFormat="1" applyFont="1" applyBorder="1" applyProtection="1"/>
    <xf numFmtId="174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0" xfId="0" applyNumberFormat="1" applyFont="1"/>
    <xf numFmtId="3" fontId="22" fillId="0" borderId="1" xfId="0" applyNumberFormat="1" applyFont="1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center"/>
    </xf>
    <xf numFmtId="0" fontId="25" fillId="0" borderId="0" xfId="0" applyFont="1"/>
    <xf numFmtId="3" fontId="15" fillId="6" borderId="13" xfId="0" applyNumberFormat="1" applyFont="1" applyFill="1" applyBorder="1" applyAlignment="1" applyProtection="1">
      <alignment horizontal="center"/>
      <protection locked="0"/>
    </xf>
    <xf numFmtId="167" fontId="0" fillId="6" borderId="13" xfId="0" applyNumberFormat="1" applyFill="1" applyBorder="1" applyProtection="1">
      <protection locked="0"/>
    </xf>
    <xf numFmtId="172" fontId="14" fillId="6" borderId="13" xfId="0" applyNumberFormat="1" applyFont="1" applyFill="1" applyBorder="1" applyAlignment="1" applyProtection="1">
      <alignment horizontal="center"/>
      <protection locked="0"/>
    </xf>
    <xf numFmtId="3" fontId="15" fillId="6" borderId="13" xfId="0" applyNumberFormat="1" applyFont="1" applyFill="1" applyBorder="1" applyProtection="1">
      <protection locked="0"/>
    </xf>
    <xf numFmtId="176" fontId="14" fillId="6" borderId="13" xfId="0" applyNumberFormat="1" applyFont="1" applyFill="1" applyBorder="1" applyAlignment="1" applyProtection="1">
      <alignment horizontal="center"/>
      <protection locked="0"/>
    </xf>
    <xf numFmtId="0" fontId="26" fillId="3" borderId="6" xfId="0" applyFont="1" applyFill="1" applyBorder="1" applyProtection="1">
      <protection locked="0"/>
    </xf>
    <xf numFmtId="0" fontId="21" fillId="0" borderId="6" xfId="0" applyFont="1" applyBorder="1"/>
    <xf numFmtId="0" fontId="2" fillId="5" borderId="12" xfId="0" applyFont="1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4" fontId="14" fillId="2" borderId="12" xfId="0" applyNumberFormat="1" applyFont="1" applyFill="1" applyBorder="1" applyProtection="1">
      <protection locked="0"/>
    </xf>
    <xf numFmtId="3" fontId="15" fillId="6" borderId="12" xfId="0" applyNumberFormat="1" applyFont="1" applyFill="1" applyBorder="1" applyAlignment="1" applyProtection="1">
      <alignment horizontal="center"/>
      <protection locked="0"/>
    </xf>
    <xf numFmtId="167" fontId="0" fillId="6" borderId="12" xfId="0" applyNumberFormat="1" applyFill="1" applyBorder="1" applyProtection="1">
      <protection locked="0"/>
    </xf>
    <xf numFmtId="172" fontId="14" fillId="6" borderId="12" xfId="0" applyNumberFormat="1" applyFon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4" fillId="0" borderId="22" xfId="0" applyFont="1" applyFill="1" applyBorder="1" applyProtection="1"/>
    <xf numFmtId="3" fontId="0" fillId="2" borderId="23" xfId="0" applyNumberFormat="1" applyFill="1" applyBorder="1" applyProtection="1">
      <protection locked="0"/>
    </xf>
    <xf numFmtId="164" fontId="0" fillId="0" borderId="19" xfId="0" applyNumberFormat="1" applyBorder="1"/>
    <xf numFmtId="4" fontId="14" fillId="2" borderId="23" xfId="0" applyNumberFormat="1" applyFont="1" applyFill="1" applyBorder="1" applyProtection="1">
      <protection locked="0"/>
    </xf>
    <xf numFmtId="3" fontId="15" fillId="6" borderId="23" xfId="0" applyNumberFormat="1" applyFont="1" applyFill="1" applyBorder="1" applyAlignment="1" applyProtection="1">
      <alignment horizontal="center"/>
      <protection locked="0"/>
    </xf>
    <xf numFmtId="167" fontId="0" fillId="6" borderId="23" xfId="0" applyNumberFormat="1" applyFill="1" applyBorder="1" applyProtection="1">
      <protection locked="0"/>
    </xf>
    <xf numFmtId="172" fontId="14" fillId="6" borderId="23" xfId="0" applyNumberFormat="1" applyFon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164" fontId="0" fillId="0" borderId="24" xfId="0" applyNumberFormat="1" applyBorder="1"/>
    <xf numFmtId="3" fontId="15" fillId="6" borderId="12" xfId="0" applyNumberFormat="1" applyFont="1" applyFill="1" applyBorder="1" applyProtection="1">
      <protection locked="0"/>
    </xf>
    <xf numFmtId="176" fontId="14" fillId="6" borderId="12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Border="1" applyProtection="1">
      <protection locked="0"/>
    </xf>
    <xf numFmtId="3" fontId="15" fillId="6" borderId="23" xfId="0" applyNumberFormat="1" applyFont="1" applyFill="1" applyBorder="1" applyProtection="1">
      <protection locked="0"/>
    </xf>
    <xf numFmtId="176" fontId="14" fillId="6" borderId="23" xfId="0" applyNumberFormat="1" applyFont="1" applyFill="1" applyBorder="1" applyAlignment="1" applyProtection="1">
      <alignment horizontal="center"/>
      <protection locked="0"/>
    </xf>
    <xf numFmtId="3" fontId="0" fillId="2" borderId="22" xfId="0" applyNumberFormat="1" applyFill="1" applyBorder="1" applyProtection="1">
      <protection locked="0"/>
    </xf>
    <xf numFmtId="4" fontId="14" fillId="2" borderId="22" xfId="0" applyNumberFormat="1" applyFont="1" applyFill="1" applyBorder="1" applyProtection="1">
      <protection locked="0"/>
    </xf>
    <xf numFmtId="3" fontId="15" fillId="6" borderId="22" xfId="0" applyNumberFormat="1" applyFont="1" applyFill="1" applyBorder="1" applyAlignment="1" applyProtection="1">
      <alignment horizontal="center"/>
      <protection locked="0"/>
    </xf>
    <xf numFmtId="167" fontId="0" fillId="6" borderId="22" xfId="0" applyNumberFormat="1" applyFill="1" applyBorder="1" applyProtection="1">
      <protection locked="0"/>
    </xf>
    <xf numFmtId="172" fontId="14" fillId="6" borderId="22" xfId="0" applyNumberFormat="1" applyFont="1" applyFill="1" applyBorder="1" applyAlignment="1" applyProtection="1">
      <alignment horizontal="center"/>
      <protection locked="0"/>
    </xf>
    <xf numFmtId="164" fontId="0" fillId="2" borderId="2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5" xfId="0" applyBorder="1" applyProtection="1"/>
    <xf numFmtId="0" fontId="2" fillId="0" borderId="26" xfId="0" applyFont="1" applyBorder="1"/>
    <xf numFmtId="0" fontId="0" fillId="0" borderId="27" xfId="0" applyFill="1" applyBorder="1"/>
    <xf numFmtId="0" fontId="0" fillId="0" borderId="27" xfId="0" applyBorder="1"/>
    <xf numFmtId="4" fontId="14" fillId="0" borderId="27" xfId="0" applyNumberFormat="1" applyFont="1" applyFill="1" applyBorder="1" applyProtection="1"/>
    <xf numFmtId="3" fontId="15" fillId="0" borderId="27" xfId="0" applyNumberFormat="1" applyFont="1" applyFill="1" applyBorder="1" applyAlignment="1" applyProtection="1">
      <alignment horizontal="center"/>
    </xf>
    <xf numFmtId="167" fontId="0" fillId="0" borderId="27" xfId="0" applyNumberFormat="1" applyFill="1" applyBorder="1" applyProtection="1"/>
    <xf numFmtId="172" fontId="14" fillId="0" borderId="27" xfId="0" applyNumberFormat="1" applyFont="1" applyFill="1" applyBorder="1" applyAlignment="1" applyProtection="1">
      <alignment horizontal="center"/>
    </xf>
    <xf numFmtId="164" fontId="0" fillId="0" borderId="27" xfId="0" applyNumberFormat="1" applyFill="1" applyBorder="1" applyProtection="1"/>
    <xf numFmtId="0" fontId="0" fillId="0" borderId="27" xfId="0" applyFill="1" applyBorder="1" applyProtection="1"/>
    <xf numFmtId="0" fontId="0" fillId="0" borderId="28" xfId="0" applyBorder="1"/>
    <xf numFmtId="164" fontId="0" fillId="0" borderId="27" xfId="0" applyNumberFormat="1" applyBorder="1"/>
    <xf numFmtId="3" fontId="15" fillId="0" borderId="26" xfId="0" applyNumberFormat="1" applyFont="1" applyBorder="1" applyAlignment="1" applyProtection="1">
      <alignment horizontal="center"/>
      <protection locked="0"/>
    </xf>
    <xf numFmtId="169" fontId="0" fillId="0" borderId="27" xfId="0" applyNumberFormat="1" applyBorder="1" applyAlignment="1" applyProtection="1">
      <alignment horizontal="center"/>
      <protection locked="0"/>
    </xf>
    <xf numFmtId="172" fontId="14" fillId="0" borderId="28" xfId="0" applyNumberFormat="1" applyFont="1" applyBorder="1" applyAlignment="1" applyProtection="1">
      <alignment horizontal="center"/>
      <protection locked="0"/>
    </xf>
    <xf numFmtId="164" fontId="0" fillId="0" borderId="27" xfId="0" applyNumberFormat="1" applyBorder="1" applyProtection="1">
      <protection locked="0"/>
    </xf>
    <xf numFmtId="164" fontId="0" fillId="0" borderId="28" xfId="0" applyNumberFormat="1" applyBorder="1"/>
    <xf numFmtId="0" fontId="6" fillId="5" borderId="0" xfId="0" applyFont="1" applyFill="1" applyProtection="1">
      <protection locked="0"/>
    </xf>
    <xf numFmtId="0" fontId="15" fillId="2" borderId="13" xfId="0" applyFont="1" applyFill="1" applyBorder="1" applyAlignment="1" applyProtection="1">
      <alignment horizontal="center"/>
      <protection locked="0"/>
    </xf>
    <xf numFmtId="16" fontId="14" fillId="2" borderId="1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/>
    <xf numFmtId="3" fontId="21" fillId="0" borderId="0" xfId="0" applyNumberFormat="1" applyFont="1" applyBorder="1"/>
    <xf numFmtId="164" fontId="2" fillId="0" borderId="0" xfId="0" applyNumberFormat="1" applyFont="1" applyFill="1" applyProtection="1"/>
    <xf numFmtId="9" fontId="5" fillId="0" borderId="0" xfId="0" applyNumberFormat="1" applyFont="1" applyAlignment="1" applyProtection="1">
      <alignment horizontal="center"/>
    </xf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4" fontId="0" fillId="0" borderId="9" xfId="0" applyNumberFormat="1" applyBorder="1" applyProtection="1"/>
    <xf numFmtId="4" fontId="2" fillId="0" borderId="14" xfId="0" applyNumberFormat="1" applyFont="1" applyBorder="1" applyProtection="1"/>
    <xf numFmtId="0" fontId="2" fillId="0" borderId="10" xfId="0" applyFont="1" applyBorder="1" applyProtection="1"/>
    <xf numFmtId="164" fontId="21" fillId="0" borderId="0" xfId="0" applyNumberFormat="1" applyFont="1"/>
    <xf numFmtId="164" fontId="21" fillId="0" borderId="0" xfId="0" applyNumberFormat="1" applyFont="1" applyBorder="1"/>
    <xf numFmtId="4" fontId="26" fillId="0" borderId="0" xfId="0" applyNumberFormat="1" applyFont="1" applyBorder="1"/>
    <xf numFmtId="3" fontId="26" fillId="0" borderId="0" xfId="0" applyNumberFormat="1" applyFont="1" applyBorder="1" applyProtection="1">
      <protection locked="0"/>
    </xf>
    <xf numFmtId="3" fontId="15" fillId="5" borderId="13" xfId="0" applyNumberFormat="1" applyFont="1" applyFill="1" applyBorder="1" applyProtection="1">
      <protection locked="0"/>
    </xf>
    <xf numFmtId="3" fontId="26" fillId="0" borderId="0" xfId="0" applyNumberFormat="1" applyFont="1"/>
    <xf numFmtId="0" fontId="26" fillId="0" borderId="0" xfId="0" applyFont="1" applyBorder="1"/>
    <xf numFmtId="0" fontId="26" fillId="0" borderId="6" xfId="0" applyFont="1" applyBorder="1"/>
    <xf numFmtId="0" fontId="7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21" fillId="0" borderId="0" xfId="0" applyNumberFormat="1" applyFont="1"/>
    <xf numFmtId="0" fontId="21" fillId="0" borderId="0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5" borderId="0" xfId="0" applyFont="1" applyFill="1" applyAlignment="1" applyProtection="1">
      <alignment horizontal="left"/>
      <protection locked="0"/>
    </xf>
    <xf numFmtId="0" fontId="14" fillId="5" borderId="6" xfId="0" applyFont="1" applyFill="1" applyBorder="1" applyAlignment="1" applyProtection="1">
      <alignment horizontal="left"/>
      <protection locked="0"/>
    </xf>
    <xf numFmtId="0" fontId="15" fillId="5" borderId="0" xfId="0" applyFont="1" applyFill="1" applyAlignment="1" applyProtection="1">
      <alignment horizontal="left"/>
      <protection locked="0"/>
    </xf>
    <xf numFmtId="4" fontId="0" fillId="0" borderId="0" xfId="0" applyNumberFormat="1" applyAlignment="1">
      <alignment horizontal="center"/>
    </xf>
    <xf numFmtId="4" fontId="0" fillId="0" borderId="6" xfId="0" applyNumberFormat="1" applyBorder="1" applyAlignment="1">
      <alignment horizontal="center"/>
    </xf>
    <xf numFmtId="3" fontId="2" fillId="2" borderId="0" xfId="0" applyNumberFormat="1" applyFont="1" applyFill="1" applyAlignment="1" applyProtection="1">
      <alignment horizontal="center"/>
      <protection locked="0"/>
    </xf>
    <xf numFmtId="167" fontId="0" fillId="2" borderId="0" xfId="0" applyNumberFormat="1" applyFill="1" applyAlignment="1" applyProtection="1">
      <alignment horizontal="center"/>
      <protection locked="0"/>
    </xf>
    <xf numFmtId="167" fontId="0" fillId="2" borderId="6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6" fontId="0" fillId="2" borderId="0" xfId="0" applyNumberFormat="1" applyFill="1" applyAlignment="1" applyProtection="1">
      <alignment horizontal="center"/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4" fontId="0" fillId="2" borderId="0" xfId="0" applyNumberFormat="1" applyFill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4" fontId="0" fillId="2" borderId="0" xfId="0" applyNumberFormat="1" applyFill="1" applyProtection="1">
      <protection locked="0"/>
    </xf>
    <xf numFmtId="4" fontId="0" fillId="2" borderId="6" xfId="0" applyNumberFormat="1" applyFill="1" applyBorder="1" applyProtection="1">
      <protection locked="0"/>
    </xf>
    <xf numFmtId="166" fontId="0" fillId="2" borderId="0" xfId="0" applyNumberFormat="1" applyFill="1" applyProtection="1">
      <protection locked="0"/>
    </xf>
    <xf numFmtId="165" fontId="0" fillId="2" borderId="0" xfId="0" applyNumberFormat="1" applyFill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4" fontId="2" fillId="2" borderId="6" xfId="0" applyNumberFormat="1" applyFont="1" applyFill="1" applyBorder="1" applyAlignment="1" applyProtection="1">
      <alignment horizontal="center"/>
      <protection locked="0"/>
    </xf>
    <xf numFmtId="167" fontId="14" fillId="0" borderId="14" xfId="0" applyNumberFormat="1" applyFont="1" applyBorder="1" applyAlignment="1">
      <alignment horizontal="center"/>
    </xf>
    <xf numFmtId="167" fontId="3" fillId="6" borderId="13" xfId="0" applyNumberFormat="1" applyFont="1" applyFill="1" applyBorder="1" applyAlignment="1" applyProtection="1">
      <alignment horizontal="center"/>
      <protection locked="0"/>
    </xf>
    <xf numFmtId="167" fontId="15" fillId="0" borderId="0" xfId="0" applyNumberFormat="1" applyFont="1"/>
    <xf numFmtId="4" fontId="1" fillId="0" borderId="0" xfId="0" applyNumberFormat="1" applyFont="1"/>
    <xf numFmtId="4" fontId="1" fillId="6" borderId="13" xfId="0" applyNumberFormat="1" applyFont="1" applyFill="1" applyBorder="1" applyProtection="1">
      <protection locked="0"/>
    </xf>
    <xf numFmtId="4" fontId="1" fillId="6" borderId="12" xfId="0" applyNumberFormat="1" applyFont="1" applyFill="1" applyBorder="1" applyProtection="1">
      <protection locked="0"/>
    </xf>
    <xf numFmtId="3" fontId="21" fillId="6" borderId="13" xfId="0" applyNumberFormat="1" applyFont="1" applyFill="1" applyBorder="1" applyProtection="1">
      <protection locked="0"/>
    </xf>
    <xf numFmtId="3" fontId="27" fillId="0" borderId="0" xfId="0" applyNumberFormat="1" applyFont="1"/>
    <xf numFmtId="3" fontId="22" fillId="0" borderId="0" xfId="0" applyNumberFormat="1" applyFont="1"/>
    <xf numFmtId="0" fontId="6" fillId="3" borderId="13" xfId="0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23" xfId="0" applyNumberFormat="1" applyFill="1" applyBorder="1" applyProtection="1">
      <protection locked="0"/>
    </xf>
    <xf numFmtId="164" fontId="5" fillId="0" borderId="10" xfId="0" applyNumberFormat="1" applyFont="1" applyBorder="1"/>
    <xf numFmtId="167" fontId="5" fillId="0" borderId="9" xfId="0" applyNumberFormat="1" applyFont="1" applyBorder="1"/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7" fillId="0" borderId="9" xfId="0" applyNumberFormat="1" applyFont="1" applyBorder="1"/>
    <xf numFmtId="170" fontId="7" fillId="0" borderId="9" xfId="0" applyNumberFormat="1" applyFont="1" applyBorder="1"/>
    <xf numFmtId="165" fontId="7" fillId="0" borderId="9" xfId="0" applyNumberFormat="1" applyFont="1" applyBorder="1"/>
    <xf numFmtId="165" fontId="2" fillId="0" borderId="9" xfId="0" applyNumberFormat="1" applyFont="1" applyBorder="1"/>
    <xf numFmtId="165" fontId="2" fillId="0" borderId="14" xfId="0" applyNumberFormat="1" applyFont="1" applyBorder="1"/>
    <xf numFmtId="170" fontId="7" fillId="0" borderId="6" xfId="0" applyNumberFormat="1" applyFont="1" applyBorder="1"/>
    <xf numFmtId="165" fontId="7" fillId="0" borderId="6" xfId="0" applyNumberFormat="1" applyFont="1" applyBorder="1"/>
    <xf numFmtId="164" fontId="7" fillId="0" borderId="0" xfId="0" applyNumberFormat="1" applyFont="1" applyBorder="1"/>
    <xf numFmtId="165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Border="1"/>
    <xf numFmtId="0" fontId="2" fillId="0" borderId="6" xfId="0" applyNumberFormat="1" applyFont="1" applyBorder="1"/>
    <xf numFmtId="171" fontId="6" fillId="2" borderId="13" xfId="0" applyNumberFormat="1" applyFont="1" applyFill="1" applyBorder="1" applyAlignment="1" applyProtection="1">
      <alignment horizontal="center"/>
      <protection locked="0"/>
    </xf>
    <xf numFmtId="3" fontId="21" fillId="0" borderId="6" xfId="0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Border="1"/>
    <xf numFmtId="0" fontId="0" fillId="7" borderId="13" xfId="0" applyFill="1" applyBorder="1" applyProtection="1">
      <protection locked="0"/>
    </xf>
    <xf numFmtId="3" fontId="0" fillId="0" borderId="7" xfId="0" applyNumberFormat="1" applyBorder="1"/>
    <xf numFmtId="3" fontId="0" fillId="0" borderId="2" xfId="0" applyNumberFormat="1" applyBorder="1"/>
    <xf numFmtId="3" fontId="0" fillId="0" borderId="29" xfId="0" applyNumberFormat="1" applyBorder="1"/>
    <xf numFmtId="3" fontId="0" fillId="0" borderId="8" xfId="0" applyNumberFormat="1" applyBorder="1"/>
    <xf numFmtId="0" fontId="0" fillId="0" borderId="6" xfId="0" applyBorder="1" applyAlignment="1">
      <alignment horizontal="left"/>
    </xf>
    <xf numFmtId="0" fontId="0" fillId="0" borderId="30" xfId="0" applyBorder="1" applyAlignment="1">
      <alignment horizontal="center"/>
    </xf>
    <xf numFmtId="4" fontId="0" fillId="0" borderId="31" xfId="0" applyNumberFormat="1" applyBorder="1" applyAlignment="1" applyProtection="1">
      <alignment horizontal="center"/>
      <protection locked="0"/>
    </xf>
    <xf numFmtId="3" fontId="21" fillId="0" borderId="0" xfId="0" applyNumberFormat="1" applyFont="1" applyAlignment="1">
      <alignment horizontal="center"/>
    </xf>
    <xf numFmtId="165" fontId="25" fillId="0" borderId="0" xfId="0" applyNumberFormat="1" applyFont="1"/>
    <xf numFmtId="164" fontId="3" fillId="0" borderId="0" xfId="0" applyNumberFormat="1" applyFont="1"/>
    <xf numFmtId="165" fontId="27" fillId="0" borderId="0" xfId="0" applyNumberFormat="1" applyFont="1"/>
    <xf numFmtId="165" fontId="25" fillId="0" borderId="6" xfId="0" applyNumberFormat="1" applyFont="1" applyBorder="1"/>
    <xf numFmtId="167" fontId="21" fillId="0" borderId="0" xfId="0" applyNumberFormat="1" applyFont="1" applyAlignment="1">
      <alignment horizontal="center"/>
    </xf>
    <xf numFmtId="164" fontId="4" fillId="0" borderId="0" xfId="0" applyNumberFormat="1" applyFont="1"/>
    <xf numFmtId="164" fontId="25" fillId="0" borderId="0" xfId="0" applyNumberFormat="1" applyFont="1"/>
    <xf numFmtId="164" fontId="25" fillId="0" borderId="6" xfId="0" applyNumberFormat="1" applyFont="1" applyBorder="1"/>
    <xf numFmtId="0" fontId="2" fillId="0" borderId="32" xfId="0" applyFont="1" applyBorder="1"/>
    <xf numFmtId="164" fontId="0" fillId="0" borderId="32" xfId="0" applyNumberFormat="1" applyBorder="1"/>
    <xf numFmtId="164" fontId="6" fillId="0" borderId="32" xfId="0" applyNumberFormat="1" applyFont="1" applyBorder="1"/>
    <xf numFmtId="166" fontId="0" fillId="0" borderId="32" xfId="0" applyNumberFormat="1" applyBorder="1"/>
    <xf numFmtId="0" fontId="0" fillId="0" borderId="32" xfId="0" applyBorder="1"/>
    <xf numFmtId="164" fontId="3" fillId="0" borderId="32" xfId="0" applyNumberFormat="1" applyFont="1" applyBorder="1"/>
    <xf numFmtId="165" fontId="0" fillId="0" borderId="32" xfId="0" applyNumberFormat="1" applyBorder="1"/>
    <xf numFmtId="0" fontId="2" fillId="0" borderId="33" xfId="0" applyFont="1" applyBorder="1"/>
    <xf numFmtId="0" fontId="0" fillId="0" borderId="33" xfId="0" applyBorder="1"/>
    <xf numFmtId="164" fontId="2" fillId="0" borderId="33" xfId="0" applyNumberFormat="1" applyFont="1" applyBorder="1"/>
    <xf numFmtId="164" fontId="4" fillId="0" borderId="33" xfId="0" applyNumberFormat="1" applyFont="1" applyBorder="1"/>
    <xf numFmtId="165" fontId="2" fillId="0" borderId="33" xfId="0" applyNumberFormat="1" applyFont="1" applyBorder="1"/>
    <xf numFmtId="165" fontId="0" fillId="0" borderId="33" xfId="0" applyNumberFormat="1" applyBorder="1"/>
    <xf numFmtId="164" fontId="2" fillId="0" borderId="32" xfId="0" applyNumberFormat="1" applyFont="1" applyBorder="1"/>
    <xf numFmtId="164" fontId="4" fillId="0" borderId="32" xfId="0" applyNumberFormat="1" applyFont="1" applyBorder="1"/>
    <xf numFmtId="165" fontId="27" fillId="0" borderId="32" xfId="0" applyNumberFormat="1" applyFont="1" applyBorder="1"/>
    <xf numFmtId="164" fontId="2" fillId="0" borderId="19" xfId="0" applyNumberFormat="1" applyFont="1" applyBorder="1"/>
    <xf numFmtId="165" fontId="27" fillId="0" borderId="19" xfId="0" applyNumberFormat="1" applyFont="1" applyBorder="1"/>
    <xf numFmtId="0" fontId="2" fillId="0" borderId="27" xfId="0" applyFont="1" applyBorder="1"/>
    <xf numFmtId="164" fontId="2" fillId="0" borderId="27" xfId="0" applyNumberFormat="1" applyFont="1" applyBorder="1"/>
    <xf numFmtId="165" fontId="27" fillId="0" borderId="27" xfId="0" applyNumberFormat="1" applyFont="1" applyBorder="1"/>
    <xf numFmtId="0" fontId="5" fillId="5" borderId="9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167" fontId="0" fillId="3" borderId="13" xfId="0" applyNumberFormat="1" applyFill="1" applyBorder="1" applyProtection="1">
      <protection locked="0"/>
    </xf>
    <xf numFmtId="167" fontId="6" fillId="3" borderId="13" xfId="0" applyNumberFormat="1" applyFont="1" applyFill="1" applyBorder="1" applyProtection="1">
      <protection locked="0"/>
    </xf>
    <xf numFmtId="167" fontId="2" fillId="3" borderId="13" xfId="0" applyNumberFormat="1" applyFont="1" applyFill="1" applyBorder="1" applyProtection="1">
      <protection locked="0"/>
    </xf>
    <xf numFmtId="3" fontId="15" fillId="2" borderId="6" xfId="0" applyNumberFormat="1" applyFont="1" applyFill="1" applyBorder="1" applyAlignment="1" applyProtection="1">
      <alignment horizontal="center"/>
      <protection locked="0"/>
    </xf>
    <xf numFmtId="3" fontId="7" fillId="2" borderId="6" xfId="0" applyNumberFormat="1" applyFont="1" applyFill="1" applyBorder="1" applyAlignment="1" applyProtection="1">
      <alignment horizontal="center"/>
      <protection locked="0"/>
    </xf>
    <xf numFmtId="3" fontId="22" fillId="6" borderId="13" xfId="0" applyNumberFormat="1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6" fillId="8" borderId="13" xfId="0" applyFont="1" applyFill="1" applyBorder="1" applyProtection="1">
      <protection locked="0"/>
    </xf>
    <xf numFmtId="3" fontId="0" fillId="8" borderId="13" xfId="0" applyNumberFormat="1" applyFill="1" applyBorder="1" applyProtection="1">
      <protection locked="0"/>
    </xf>
    <xf numFmtId="14" fontId="26" fillId="3" borderId="6" xfId="0" applyNumberFormat="1" applyFont="1" applyFill="1" applyBorder="1" applyProtection="1">
      <protection locked="0"/>
    </xf>
    <xf numFmtId="3" fontId="0" fillId="7" borderId="13" xfId="0" applyNumberFormat="1" applyFill="1" applyBorder="1" applyProtection="1">
      <protection locked="0"/>
    </xf>
    <xf numFmtId="3" fontId="6" fillId="7" borderId="13" xfId="0" applyNumberFormat="1" applyFont="1" applyFill="1" applyBorder="1" applyProtection="1">
      <protection locked="0"/>
    </xf>
    <xf numFmtId="164" fontId="0" fillId="7" borderId="13" xfId="0" applyNumberFormat="1" applyFill="1" applyBorder="1" applyProtection="1">
      <protection locked="0"/>
    </xf>
    <xf numFmtId="165" fontId="21" fillId="9" borderId="13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0" fontId="5" fillId="2" borderId="13" xfId="0" applyFont="1" applyFill="1" applyBorder="1" applyAlignment="1" applyProtection="1">
      <alignment horizontal="center"/>
      <protection locked="0"/>
    </xf>
    <xf numFmtId="4" fontId="5" fillId="10" borderId="13" xfId="0" applyNumberFormat="1" applyFont="1" applyFill="1" applyBorder="1" applyProtection="1">
      <protection locked="0"/>
    </xf>
    <xf numFmtId="4" fontId="5" fillId="10" borderId="13" xfId="0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Protection="1">
      <protection locked="0"/>
    </xf>
    <xf numFmtId="4" fontId="0" fillId="8" borderId="8" xfId="0" applyNumberFormat="1" applyFill="1" applyBorder="1" applyProtection="1">
      <protection locked="0"/>
    </xf>
    <xf numFmtId="4" fontId="0" fillId="8" borderId="6" xfId="0" applyNumberFormat="1" applyFill="1" applyBorder="1" applyProtection="1">
      <protection locked="0"/>
    </xf>
    <xf numFmtId="4" fontId="0" fillId="8" borderId="13" xfId="0" applyNumberFormat="1" applyFill="1" applyBorder="1" applyProtection="1">
      <protection locked="0"/>
    </xf>
    <xf numFmtId="4" fontId="0" fillId="8" borderId="12" xfId="0" applyNumberFormat="1" applyFill="1" applyBorder="1" applyProtection="1">
      <protection locked="0"/>
    </xf>
    <xf numFmtId="4" fontId="6" fillId="8" borderId="8" xfId="0" applyNumberFormat="1" applyFont="1" applyFill="1" applyBorder="1" applyProtection="1">
      <protection locked="0"/>
    </xf>
    <xf numFmtId="0" fontId="27" fillId="0" borderId="6" xfId="0" applyFont="1" applyBorder="1"/>
    <xf numFmtId="4" fontId="6" fillId="2" borderId="0" xfId="0" applyNumberFormat="1" applyFont="1" applyFill="1" applyProtection="1">
      <protection locked="0"/>
    </xf>
    <xf numFmtId="0" fontId="27" fillId="0" borderId="0" xfId="0" applyFont="1" applyFill="1" applyBorder="1" applyAlignment="1">
      <alignment horizontal="right"/>
    </xf>
    <xf numFmtId="2" fontId="0" fillId="0" borderId="6" xfId="0" applyNumberFormat="1" applyBorder="1"/>
    <xf numFmtId="0" fontId="6" fillId="0" borderId="34" xfId="0" applyFont="1" applyBorder="1"/>
    <xf numFmtId="164" fontId="0" fillId="0" borderId="34" xfId="0" applyNumberFormat="1" applyBorder="1"/>
    <xf numFmtId="0" fontId="5" fillId="5" borderId="9" xfId="0" applyFont="1" applyFill="1" applyBorder="1" applyAlignment="1" applyProtection="1">
      <alignment horizontal="left"/>
      <protection locked="0"/>
    </xf>
    <xf numFmtId="0" fontId="6" fillId="5" borderId="6" xfId="0" applyFont="1" applyFill="1" applyBorder="1" applyProtection="1">
      <protection locked="0"/>
    </xf>
    <xf numFmtId="4" fontId="0" fillId="8" borderId="0" xfId="0" applyNumberFormat="1" applyFill="1" applyProtection="1">
      <protection locked="0"/>
    </xf>
    <xf numFmtId="0" fontId="1" fillId="0" borderId="2" xfId="0" applyFont="1" applyBorder="1" applyProtection="1">
      <protection locked="0"/>
    </xf>
    <xf numFmtId="0" fontId="1" fillId="3" borderId="12" xfId="0" applyFont="1" applyFill="1" applyBorder="1" applyProtection="1">
      <protection locked="0"/>
    </xf>
    <xf numFmtId="4" fontId="1" fillId="2" borderId="0" xfId="0" applyNumberFormat="1" applyFont="1" applyFill="1" applyProtection="1">
      <protection locked="0"/>
    </xf>
    <xf numFmtId="3" fontId="1" fillId="2" borderId="13" xfId="0" applyNumberFormat="1" applyFont="1" applyFill="1" applyBorder="1" applyProtection="1">
      <protection locked="0"/>
    </xf>
    <xf numFmtId="0" fontId="1" fillId="0" borderId="25" xfId="0" applyFont="1" applyBorder="1" applyProtection="1">
      <protection locked="0"/>
    </xf>
    <xf numFmtId="0" fontId="26" fillId="3" borderId="6" xfId="0" applyFont="1" applyFill="1" applyBorder="1" applyAlignment="1" applyProtection="1">
      <alignment horizontal="left"/>
      <protection locked="0"/>
    </xf>
    <xf numFmtId="4" fontId="26" fillId="3" borderId="6" xfId="0" applyNumberFormat="1" applyFont="1" applyFill="1" applyBorder="1" applyAlignment="1" applyProtection="1">
      <alignment horizontal="left"/>
      <protection locked="0"/>
    </xf>
    <xf numFmtId="4" fontId="28" fillId="3" borderId="6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5" fontId="15" fillId="5" borderId="9" xfId="0" applyNumberFormat="1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0" fontId="3" fillId="0" borderId="6" xfId="0" applyFont="1" applyBorder="1" applyAlignment="1" applyProtection="1">
      <alignment horizontal="left"/>
    </xf>
    <xf numFmtId="167" fontId="1" fillId="2" borderId="0" xfId="0" applyNumberFormat="1" applyFont="1" applyFill="1" applyAlignment="1" applyProtection="1">
      <alignment horizontal="center"/>
      <protection locked="0"/>
    </xf>
    <xf numFmtId="167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166" fontId="1" fillId="2" borderId="0" xfId="0" applyNumberFormat="1" applyFont="1" applyFill="1" applyAlignment="1" applyProtection="1">
      <alignment horizontal="center"/>
      <protection locked="0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2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6" xfId="0" applyFont="1" applyFill="1" applyBorder="1" applyProtection="1">
      <protection locked="0"/>
    </xf>
    <xf numFmtId="166" fontId="1" fillId="2" borderId="0" xfId="0" applyNumberFormat="1" applyFont="1" applyFill="1" applyProtection="1">
      <protection locked="0"/>
    </xf>
    <xf numFmtId="169" fontId="1" fillId="2" borderId="0" xfId="0" applyNumberFormat="1" applyFont="1" applyFill="1" applyProtection="1">
      <protection locked="0"/>
    </xf>
    <xf numFmtId="165" fontId="1" fillId="2" borderId="0" xfId="0" applyNumberFormat="1" applyFont="1" applyFill="1" applyProtection="1">
      <protection locked="0"/>
    </xf>
    <xf numFmtId="164" fontId="0" fillId="8" borderId="0" xfId="0" applyNumberFormat="1" applyFill="1" applyProtection="1">
      <protection locked="0"/>
    </xf>
    <xf numFmtId="2" fontId="2" fillId="8" borderId="6" xfId="0" applyNumberFormat="1" applyFont="1" applyFill="1" applyBorder="1" applyProtection="1">
      <protection locked="0"/>
    </xf>
    <xf numFmtId="4" fontId="2" fillId="8" borderId="0" xfId="0" applyNumberFormat="1" applyFont="1" applyFill="1" applyProtection="1">
      <protection locked="0"/>
    </xf>
    <xf numFmtId="164" fontId="0" fillId="8" borderId="34" xfId="0" applyNumberFormat="1" applyFill="1" applyBorder="1" applyProtection="1">
      <protection locked="0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" fillId="0" borderId="0" xfId="0" applyFont="1"/>
    <xf numFmtId="178" fontId="0" fillId="5" borderId="12" xfId="0" applyNumberFormat="1" applyFill="1" applyBorder="1" applyProtection="1">
      <protection locked="0"/>
    </xf>
    <xf numFmtId="178" fontId="6" fillId="5" borderId="12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9" fillId="2" borderId="13" xfId="1" applyFont="1" applyFill="1" applyBorder="1" applyAlignment="1" applyProtection="1">
      <alignment horizontal="center"/>
      <protection locked="0"/>
    </xf>
    <xf numFmtId="0" fontId="25" fillId="0" borderId="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/>
    <xf numFmtId="4" fontId="6" fillId="5" borderId="2" xfId="0" applyNumberFormat="1" applyFont="1" applyFill="1" applyBorder="1" applyAlignment="1" applyProtection="1">
      <protection locked="0"/>
    </xf>
    <xf numFmtId="0" fontId="0" fillId="5" borderId="0" xfId="0" applyFill="1" applyAlignment="1" applyProtection="1">
      <protection locked="0"/>
    </xf>
    <xf numFmtId="0" fontId="25" fillId="0" borderId="6" xfId="0" applyFont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9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0" xfId="0" applyFont="1" applyBorder="1" applyAlignment="1"/>
    <xf numFmtId="0" fontId="2" fillId="0" borderId="9" xfId="0" applyFont="1" applyBorder="1" applyAlignment="1"/>
    <xf numFmtId="0" fontId="0" fillId="0" borderId="6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/>
    <xf numFmtId="4" fontId="1" fillId="2" borderId="0" xfId="0" applyNumberFormat="1" applyFont="1" applyFill="1" applyAlignment="1" applyProtection="1">
      <protection locked="0"/>
    </xf>
    <xf numFmtId="4" fontId="0" fillId="2" borderId="0" xfId="0" applyNumberFormat="1" applyFill="1" applyAlignment="1" applyProtection="1">
      <protection locked="0"/>
    </xf>
    <xf numFmtId="0" fontId="5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5" fillId="2" borderId="8" xfId="0" applyNumberFormat="1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165" fontId="5" fillId="2" borderId="10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165" fontId="0" fillId="2" borderId="9" xfId="0" applyNumberFormat="1" applyFill="1" applyBorder="1" applyAlignment="1" applyProtection="1">
      <protection locked="0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" fillId="0" borderId="2" xfId="0" applyFont="1" applyBorder="1" applyAlignment="1"/>
    <xf numFmtId="0" fontId="0" fillId="0" borderId="0" xfId="0" applyBorder="1" applyAlignment="1"/>
    <xf numFmtId="0" fontId="0" fillId="0" borderId="3" xfId="0" applyBorder="1" applyAlignment="1"/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3" fillId="0" borderId="0" xfId="0" applyFont="1" applyAlignment="1"/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4" fontId="14" fillId="0" borderId="26" xfId="0" applyNumberFormat="1" applyFont="1" applyBorder="1" applyAlignment="1" applyProtection="1">
      <alignment horizontal="center"/>
      <protection locked="0"/>
    </xf>
    <xf numFmtId="164" fontId="14" fillId="0" borderId="27" xfId="0" applyNumberFormat="1" applyFont="1" applyBorder="1" applyAlignment="1" applyProtection="1">
      <alignment horizontal="center"/>
      <protection locked="0"/>
    </xf>
    <xf numFmtId="164" fontId="14" fillId="0" borderId="26" xfId="0" applyNumberFormat="1" applyFont="1" applyBorder="1" applyAlignment="1" applyProtection="1">
      <protection locked="0"/>
    </xf>
    <xf numFmtId="164" fontId="14" fillId="0" borderId="27" xfId="0" applyNumberFormat="1" applyFont="1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4" fontId="4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C9" sqref="C9"/>
    </sheetView>
  </sheetViews>
  <sheetFormatPr defaultRowHeight="12.75" x14ac:dyDescent="0.2"/>
  <cols>
    <col min="1" max="1" width="14.28515625" customWidth="1"/>
    <col min="2" max="2" width="4.85546875" customWidth="1"/>
    <col min="3" max="3" width="27" customWidth="1"/>
    <col min="5" max="5" width="3.5703125" customWidth="1"/>
    <col min="6" max="6" width="3.7109375" customWidth="1"/>
    <col min="7" max="7" width="47.85546875" customWidth="1"/>
  </cols>
  <sheetData>
    <row r="1" spans="1:9" ht="15" x14ac:dyDescent="0.25">
      <c r="A1" s="765" t="s">
        <v>574</v>
      </c>
      <c r="B1" s="766"/>
      <c r="C1" s="766"/>
      <c r="D1" s="766"/>
      <c r="E1" s="766"/>
      <c r="F1" s="766"/>
      <c r="G1" s="762">
        <v>2014</v>
      </c>
    </row>
    <row r="2" spans="1:9" x14ac:dyDescent="0.2">
      <c r="A2" s="8"/>
      <c r="B2" s="8"/>
      <c r="C2" s="8"/>
      <c r="D2" s="8"/>
      <c r="E2" s="8"/>
    </row>
    <row r="3" spans="1:9" ht="15.75" x14ac:dyDescent="0.25">
      <c r="A3" s="767" t="s">
        <v>943</v>
      </c>
      <c r="B3" s="768"/>
      <c r="C3" s="768"/>
      <c r="D3" s="768"/>
      <c r="E3" s="768"/>
      <c r="F3" s="766"/>
      <c r="G3" s="766"/>
    </row>
    <row r="4" spans="1:9" x14ac:dyDescent="0.2">
      <c r="A4" s="1" t="s">
        <v>843</v>
      </c>
      <c r="B4" s="8"/>
      <c r="C4" s="8"/>
      <c r="D4" s="8"/>
      <c r="E4" s="8"/>
      <c r="G4" s="495" t="s">
        <v>689</v>
      </c>
    </row>
    <row r="5" spans="1:9" x14ac:dyDescent="0.2">
      <c r="A5" s="1" t="s">
        <v>221</v>
      </c>
      <c r="B5" s="1"/>
      <c r="C5" s="396" t="s">
        <v>941</v>
      </c>
      <c r="G5" s="496" t="s">
        <v>753</v>
      </c>
    </row>
    <row r="6" spans="1:9" x14ac:dyDescent="0.2">
      <c r="A6" s="1"/>
      <c r="B6" s="1"/>
      <c r="C6" s="1" t="s">
        <v>219</v>
      </c>
      <c r="G6" s="496" t="s">
        <v>754</v>
      </c>
      <c r="H6" s="316"/>
      <c r="I6" s="316"/>
    </row>
    <row r="7" spans="1:9" x14ac:dyDescent="0.2">
      <c r="A7" s="157" t="s">
        <v>356</v>
      </c>
      <c r="B7" s="1"/>
      <c r="C7" s="646">
        <v>42006</v>
      </c>
      <c r="G7" s="496" t="s">
        <v>794</v>
      </c>
      <c r="H7" s="316"/>
      <c r="I7" s="316"/>
    </row>
    <row r="8" spans="1:9" x14ac:dyDescent="0.2">
      <c r="A8" s="1"/>
      <c r="B8" s="1"/>
      <c r="C8" s="1"/>
      <c r="G8" s="496" t="s">
        <v>757</v>
      </c>
      <c r="H8" s="316"/>
      <c r="I8" s="316"/>
    </row>
    <row r="9" spans="1:9" x14ac:dyDescent="0.2">
      <c r="A9" t="s">
        <v>205</v>
      </c>
      <c r="C9" s="306"/>
      <c r="D9" s="1" t="s">
        <v>249</v>
      </c>
      <c r="G9" s="496" t="s">
        <v>755</v>
      </c>
      <c r="H9" s="316"/>
      <c r="I9" s="316"/>
    </row>
    <row r="10" spans="1:9" x14ac:dyDescent="0.2">
      <c r="A10" s="61" t="s">
        <v>206</v>
      </c>
      <c r="B10" s="61"/>
      <c r="C10" s="277" t="s">
        <v>571</v>
      </c>
      <c r="D10" s="130" t="s">
        <v>572</v>
      </c>
      <c r="G10" s="497" t="s">
        <v>690</v>
      </c>
      <c r="H10" s="316"/>
      <c r="I10" s="316"/>
    </row>
    <row r="11" spans="1:9" ht="13.5" thickBot="1" x14ac:dyDescent="0.25">
      <c r="A11" t="s">
        <v>243</v>
      </c>
      <c r="C11" s="306" t="s">
        <v>919</v>
      </c>
      <c r="G11" s="497" t="s">
        <v>691</v>
      </c>
      <c r="H11" s="316"/>
      <c r="I11" s="316"/>
    </row>
    <row r="12" spans="1:9" x14ac:dyDescent="0.2">
      <c r="A12" s="61" t="s">
        <v>573</v>
      </c>
      <c r="B12" s="61"/>
      <c r="C12" s="306"/>
      <c r="D12" s="656" t="s">
        <v>863</v>
      </c>
      <c r="G12" s="496" t="s">
        <v>692</v>
      </c>
      <c r="H12" s="316"/>
      <c r="I12" s="316"/>
    </row>
    <row r="13" spans="1:9" ht="13.5" thickBot="1" x14ac:dyDescent="0.25">
      <c r="A13" s="64" t="s">
        <v>633</v>
      </c>
      <c r="C13" s="306"/>
      <c r="D13" s="657">
        <f>'Prdtn &amp; Acres'!I45</f>
        <v>0</v>
      </c>
      <c r="G13" s="496" t="s">
        <v>756</v>
      </c>
      <c r="H13" s="316"/>
      <c r="I13" s="316"/>
    </row>
    <row r="14" spans="1:9" x14ac:dyDescent="0.2">
      <c r="A14" s="64" t="s">
        <v>634</v>
      </c>
      <c r="C14" s="306"/>
      <c r="D14" s="43"/>
      <c r="G14" s="496" t="s">
        <v>944</v>
      </c>
    </row>
    <row r="15" spans="1:9" x14ac:dyDescent="0.2">
      <c r="A15" s="64" t="s">
        <v>635</v>
      </c>
      <c r="C15" s="306"/>
      <c r="D15" s="43"/>
      <c r="G15" s="496" t="s">
        <v>945</v>
      </c>
    </row>
    <row r="16" spans="1:9" x14ac:dyDescent="0.2">
      <c r="A16" s="64" t="s">
        <v>636</v>
      </c>
      <c r="C16" s="306"/>
      <c r="D16" s="43"/>
      <c r="G16" s="498" t="s">
        <v>946</v>
      </c>
    </row>
    <row r="17" spans="1:7" x14ac:dyDescent="0.2">
      <c r="A17" s="61" t="s">
        <v>207</v>
      </c>
      <c r="B17" s="61"/>
      <c r="C17" s="306" t="s">
        <v>859</v>
      </c>
      <c r="D17" s="349" t="s">
        <v>637</v>
      </c>
    </row>
    <row r="18" spans="1:7" x14ac:dyDescent="0.2">
      <c r="A18" t="s">
        <v>210</v>
      </c>
      <c r="C18" s="306" t="s">
        <v>91</v>
      </c>
      <c r="D18" s="315" t="s">
        <v>638</v>
      </c>
      <c r="G18" s="74" t="s">
        <v>678</v>
      </c>
    </row>
    <row r="19" spans="1:7" x14ac:dyDescent="0.2">
      <c r="A19" s="61" t="s">
        <v>208</v>
      </c>
      <c r="B19" s="61"/>
      <c r="C19" s="336">
        <v>41640</v>
      </c>
      <c r="D19" s="523" t="s">
        <v>35</v>
      </c>
      <c r="G19" s="499" t="s">
        <v>679</v>
      </c>
    </row>
    <row r="20" spans="1:7" ht="13.5" thickBot="1" x14ac:dyDescent="0.25">
      <c r="A20" t="s">
        <v>250</v>
      </c>
      <c r="C20" s="471"/>
      <c r="G20" s="500" t="s">
        <v>680</v>
      </c>
    </row>
    <row r="21" spans="1:7" ht="13.5" thickTop="1" x14ac:dyDescent="0.2">
      <c r="G21" s="491" t="s">
        <v>681</v>
      </c>
    </row>
    <row r="22" spans="1:7" x14ac:dyDescent="0.2">
      <c r="C22" s="8"/>
      <c r="D22" t="s">
        <v>220</v>
      </c>
      <c r="G22" s="491" t="s">
        <v>682</v>
      </c>
    </row>
    <row r="23" spans="1:7" x14ac:dyDescent="0.2">
      <c r="A23" t="s">
        <v>209</v>
      </c>
      <c r="C23" s="705"/>
      <c r="D23" s="573" t="s">
        <v>3</v>
      </c>
      <c r="G23" s="491" t="s">
        <v>685</v>
      </c>
    </row>
    <row r="24" spans="1:7" x14ac:dyDescent="0.2">
      <c r="C24" s="572"/>
      <c r="D24" s="573" t="s">
        <v>3</v>
      </c>
      <c r="G24" s="491" t="s">
        <v>683</v>
      </c>
    </row>
    <row r="25" spans="1:7" x14ac:dyDescent="0.2">
      <c r="C25" s="572"/>
      <c r="D25" s="573" t="s">
        <v>3</v>
      </c>
      <c r="G25" s="492" t="s">
        <v>686</v>
      </c>
    </row>
    <row r="26" spans="1:7" x14ac:dyDescent="0.2">
      <c r="G26" s="492" t="s">
        <v>687</v>
      </c>
    </row>
    <row r="27" spans="1:7" x14ac:dyDescent="0.2">
      <c r="A27" t="s">
        <v>326</v>
      </c>
      <c r="C27" s="763"/>
      <c r="G27" s="493" t="s">
        <v>688</v>
      </c>
    </row>
    <row r="28" spans="1:7" x14ac:dyDescent="0.2">
      <c r="G28" s="494" t="s">
        <v>684</v>
      </c>
    </row>
    <row r="29" spans="1:7" x14ac:dyDescent="0.2">
      <c r="A29" t="s">
        <v>327</v>
      </c>
      <c r="C29" s="306"/>
      <c r="G29" s="394" t="s">
        <v>788</v>
      </c>
    </row>
    <row r="30" spans="1:7" x14ac:dyDescent="0.2">
      <c r="C30" s="272"/>
      <c r="G30" s="524" t="s">
        <v>858</v>
      </c>
    </row>
    <row r="31" spans="1:7" x14ac:dyDescent="0.2">
      <c r="A31" s="315" t="s">
        <v>846</v>
      </c>
      <c r="C31" s="1" t="s">
        <v>735</v>
      </c>
      <c r="D31" s="1" t="s">
        <v>731</v>
      </c>
      <c r="G31" s="760"/>
    </row>
    <row r="32" spans="1:7" x14ac:dyDescent="0.2">
      <c r="B32">
        <v>1</v>
      </c>
      <c r="C32" t="s">
        <v>727</v>
      </c>
      <c r="D32" s="306"/>
      <c r="G32" s="760"/>
    </row>
    <row r="33" spans="2:7" x14ac:dyDescent="0.2">
      <c r="B33">
        <v>2</v>
      </c>
      <c r="C33" t="s">
        <v>728</v>
      </c>
      <c r="D33" s="306"/>
      <c r="G33" s="760"/>
    </row>
    <row r="34" spans="2:7" x14ac:dyDescent="0.2">
      <c r="B34">
        <v>3</v>
      </c>
      <c r="C34" t="s">
        <v>5</v>
      </c>
      <c r="D34" s="306"/>
      <c r="G34" s="760"/>
    </row>
    <row r="35" spans="2:7" x14ac:dyDescent="0.2">
      <c r="B35">
        <v>4</v>
      </c>
      <c r="C35" t="s">
        <v>729</v>
      </c>
      <c r="D35" s="306"/>
      <c r="G35" s="760"/>
    </row>
    <row r="36" spans="2:7" x14ac:dyDescent="0.2">
      <c r="B36">
        <v>5</v>
      </c>
      <c r="C36" t="s">
        <v>130</v>
      </c>
      <c r="D36" s="306"/>
      <c r="G36" s="760"/>
    </row>
    <row r="37" spans="2:7" x14ac:dyDescent="0.2">
      <c r="B37">
        <v>6</v>
      </c>
      <c r="C37" t="s">
        <v>730</v>
      </c>
      <c r="D37" s="306"/>
      <c r="G37" s="760"/>
    </row>
    <row r="38" spans="2:7" x14ac:dyDescent="0.2">
      <c r="B38">
        <v>7</v>
      </c>
      <c r="C38" t="s">
        <v>732</v>
      </c>
      <c r="D38" s="306"/>
      <c r="G38" s="760"/>
    </row>
    <row r="39" spans="2:7" x14ac:dyDescent="0.2">
      <c r="B39">
        <v>8</v>
      </c>
      <c r="C39" t="s">
        <v>733</v>
      </c>
      <c r="D39" s="306"/>
      <c r="G39" s="760"/>
    </row>
    <row r="40" spans="2:7" x14ac:dyDescent="0.2">
      <c r="B40">
        <v>9</v>
      </c>
      <c r="C40" t="s">
        <v>734</v>
      </c>
      <c r="D40" s="306"/>
      <c r="G40" s="760"/>
    </row>
    <row r="41" spans="2:7" x14ac:dyDescent="0.2">
      <c r="B41">
        <v>10</v>
      </c>
      <c r="C41" t="s">
        <v>714</v>
      </c>
      <c r="D41" s="306"/>
      <c r="G41" s="761"/>
    </row>
    <row r="42" spans="2:7" x14ac:dyDescent="0.2">
      <c r="B42">
        <v>11</v>
      </c>
      <c r="C42" t="s">
        <v>620</v>
      </c>
      <c r="D42" s="306"/>
      <c r="G42" s="761"/>
    </row>
    <row r="43" spans="2:7" x14ac:dyDescent="0.2">
      <c r="B43">
        <v>12</v>
      </c>
      <c r="C43" t="s">
        <v>736</v>
      </c>
      <c r="D43" s="306"/>
      <c r="G43" s="760"/>
    </row>
    <row r="44" spans="2:7" x14ac:dyDescent="0.2">
      <c r="B44">
        <v>13</v>
      </c>
      <c r="C44" t="s">
        <v>737</v>
      </c>
      <c r="D44" s="306"/>
      <c r="G44" s="761"/>
    </row>
    <row r="45" spans="2:7" x14ac:dyDescent="0.2">
      <c r="B45">
        <v>14</v>
      </c>
      <c r="C45" t="s">
        <v>738</v>
      </c>
      <c r="D45" s="306"/>
      <c r="G45" s="761"/>
    </row>
    <row r="46" spans="2:7" x14ac:dyDescent="0.2">
      <c r="B46">
        <v>15</v>
      </c>
      <c r="C46" t="s">
        <v>739</v>
      </c>
      <c r="D46" s="306"/>
      <c r="G46" s="760"/>
    </row>
    <row r="47" spans="2:7" x14ac:dyDescent="0.2">
      <c r="B47">
        <v>16</v>
      </c>
      <c r="C47" t="s">
        <v>740</v>
      </c>
      <c r="D47" s="306"/>
      <c r="G47" s="760"/>
    </row>
    <row r="48" spans="2:7" x14ac:dyDescent="0.2">
      <c r="G48" s="760"/>
    </row>
  </sheetData>
  <sheetProtection password="FF66" sheet="1" objects="1" scenarios="1"/>
  <mergeCells count="2">
    <mergeCell ref="A1:F1"/>
    <mergeCell ref="A3:G3"/>
  </mergeCells>
  <phoneticPr fontId="0" type="noConversion"/>
  <printOptions horizontalCentered="1" verticalCentered="1"/>
  <pageMargins left="0.5" right="0.5" top="0.5" bottom="0.25" header="0.25" footer="0.25"/>
  <pageSetup scale="110" orientation="portrait" blackAndWhite="1" horizontalDpi="4294967295" r:id="rId1"/>
  <headerFooter alignWithMargins="0">
    <oddHeader>&amp;LPage No:  &amp;N: &amp;P</oddHeader>
    <oddFooter>&amp;R&amp;F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L31" sqref="L31"/>
    </sheetView>
  </sheetViews>
  <sheetFormatPr defaultRowHeight="12.75" x14ac:dyDescent="0.2"/>
  <cols>
    <col min="1" max="1" width="2.28515625" customWidth="1"/>
    <col min="2" max="2" width="34.7109375" customWidth="1"/>
    <col min="3" max="4" width="11.5703125" customWidth="1"/>
    <col min="5" max="5" width="7" customWidth="1"/>
    <col min="6" max="6" width="30.7109375" customWidth="1"/>
    <col min="7" max="7" width="11.42578125" customWidth="1"/>
    <col min="8" max="8" width="12.28515625" customWidth="1"/>
  </cols>
  <sheetData>
    <row r="1" spans="2:8" x14ac:dyDescent="0.2">
      <c r="B1" s="9" t="s">
        <v>711</v>
      </c>
      <c r="C1" s="1" t="str">
        <f>'Farm Info'!C5</f>
        <v>2014</v>
      </c>
      <c r="E1" s="815">
        <f>'Farm Info'!C9</f>
        <v>0</v>
      </c>
      <c r="F1" s="815"/>
      <c r="G1" s="815"/>
    </row>
    <row r="2" spans="2:8" x14ac:dyDescent="0.2">
      <c r="C2" s="1" t="s">
        <v>123</v>
      </c>
      <c r="D2" s="1" t="s">
        <v>668</v>
      </c>
      <c r="F2" s="18"/>
      <c r="G2" s="1" t="s">
        <v>123</v>
      </c>
      <c r="H2" s="1" t="s">
        <v>668</v>
      </c>
    </row>
    <row r="3" spans="2:8" x14ac:dyDescent="0.2">
      <c r="B3" s="63" t="s">
        <v>185</v>
      </c>
      <c r="C3" s="22" t="s">
        <v>667</v>
      </c>
      <c r="D3" s="22" t="s">
        <v>669</v>
      </c>
      <c r="E3" s="61"/>
      <c r="F3" s="22" t="s">
        <v>475</v>
      </c>
      <c r="G3" s="22" t="s">
        <v>667</v>
      </c>
      <c r="H3" s="22" t="s">
        <v>669</v>
      </c>
    </row>
    <row r="4" spans="2:8" x14ac:dyDescent="0.2">
      <c r="B4" s="9" t="s">
        <v>187</v>
      </c>
      <c r="C4" s="5"/>
      <c r="D4" s="5"/>
      <c r="E4" s="1"/>
      <c r="F4" s="169" t="s">
        <v>120</v>
      </c>
    </row>
    <row r="5" spans="2:8" x14ac:dyDescent="0.2">
      <c r="B5" t="s">
        <v>186</v>
      </c>
      <c r="C5" s="7">
        <f>Assets!C86</f>
        <v>0</v>
      </c>
      <c r="D5" s="7">
        <f>Assets!D86</f>
        <v>0</v>
      </c>
      <c r="F5" s="290" t="s">
        <v>79</v>
      </c>
      <c r="G5" s="7">
        <f>Liabilities!B6</f>
        <v>0</v>
      </c>
      <c r="H5" s="7">
        <f>Liabilities!C6</f>
        <v>0</v>
      </c>
    </row>
    <row r="6" spans="2:8" x14ac:dyDescent="0.2">
      <c r="B6" s="54" t="s">
        <v>710</v>
      </c>
      <c r="C6" s="7">
        <f>Assets!C87</f>
        <v>0</v>
      </c>
      <c r="D6" s="7">
        <f>Assets!D87</f>
        <v>0</v>
      </c>
      <c r="E6" s="39"/>
      <c r="F6" s="290" t="s">
        <v>300</v>
      </c>
      <c r="G6" s="7">
        <f>Liabilities!B7</f>
        <v>0</v>
      </c>
      <c r="H6" s="7">
        <f>Liabilities!C7</f>
        <v>0</v>
      </c>
    </row>
    <row r="7" spans="2:8" x14ac:dyDescent="0.2">
      <c r="B7" s="54" t="s">
        <v>188</v>
      </c>
      <c r="C7" s="7">
        <f>Assets!C88</f>
        <v>0</v>
      </c>
      <c r="D7" s="7">
        <f>Assets!D88</f>
        <v>0</v>
      </c>
      <c r="E7" s="39"/>
      <c r="F7" s="290" t="s">
        <v>301</v>
      </c>
      <c r="G7" s="7">
        <f>Liabilities!B8</f>
        <v>0</v>
      </c>
      <c r="H7" s="7">
        <f>Liabilities!C8</f>
        <v>0</v>
      </c>
    </row>
    <row r="8" spans="2:8" x14ac:dyDescent="0.2">
      <c r="B8" s="54" t="s">
        <v>204</v>
      </c>
      <c r="C8" s="7">
        <f>Assets!C89</f>
        <v>0</v>
      </c>
      <c r="D8" s="7">
        <f>Assets!D89</f>
        <v>0</v>
      </c>
      <c r="E8" s="162"/>
      <c r="F8" s="290" t="s">
        <v>508</v>
      </c>
      <c r="G8" s="7">
        <f>Liabilities!B9</f>
        <v>0</v>
      </c>
      <c r="H8" s="7">
        <f>Liabilities!C9</f>
        <v>0</v>
      </c>
    </row>
    <row r="9" spans="2:8" x14ac:dyDescent="0.2">
      <c r="B9" s="54" t="s">
        <v>189</v>
      </c>
      <c r="C9" s="7">
        <f>Assets!C90</f>
        <v>0</v>
      </c>
      <c r="D9" s="7">
        <f>Assets!D90</f>
        <v>0</v>
      </c>
      <c r="E9" s="39"/>
      <c r="F9" s="292" t="s">
        <v>829</v>
      </c>
      <c r="G9" s="7">
        <f>Liabilities!B10</f>
        <v>0</v>
      </c>
      <c r="H9" s="7">
        <f>Liabilities!C10</f>
        <v>0</v>
      </c>
    </row>
    <row r="10" spans="2:8" x14ac:dyDescent="0.2">
      <c r="B10" s="4" t="s">
        <v>670</v>
      </c>
      <c r="C10" s="7">
        <f>Assets!C91</f>
        <v>0</v>
      </c>
      <c r="D10" s="7">
        <f>Assets!D91</f>
        <v>0</v>
      </c>
      <c r="E10" s="162"/>
      <c r="F10" s="290" t="str">
        <f>Liabilities!A11</f>
        <v>Short Term</v>
      </c>
      <c r="G10" s="7">
        <f>Liabilities!B11</f>
        <v>0</v>
      </c>
      <c r="H10" s="7">
        <f>Liabilities!C11</f>
        <v>0</v>
      </c>
    </row>
    <row r="11" spans="2:8" x14ac:dyDescent="0.2">
      <c r="B11" s="54" t="s">
        <v>347</v>
      </c>
      <c r="C11" s="7">
        <f>Assets!C92</f>
        <v>0</v>
      </c>
      <c r="D11" s="7">
        <f>Assets!D92</f>
        <v>0</v>
      </c>
      <c r="E11" s="39"/>
      <c r="F11" s="290" t="str">
        <f>Liabilities!A12</f>
        <v>Short Term</v>
      </c>
      <c r="G11" s="7">
        <f>Liabilities!B12</f>
        <v>0</v>
      </c>
      <c r="H11" s="7">
        <f>Liabilities!C12</f>
        <v>0</v>
      </c>
    </row>
    <row r="12" spans="2:8" x14ac:dyDescent="0.2">
      <c r="B12" s="124" t="s">
        <v>347</v>
      </c>
      <c r="C12" s="66">
        <f>Assets!C93</f>
        <v>0</v>
      </c>
      <c r="D12" s="66">
        <f>Assets!D93</f>
        <v>0</v>
      </c>
      <c r="E12" s="39"/>
      <c r="F12" s="277" t="str">
        <f>Liabilities!A13</f>
        <v>Short Term</v>
      </c>
      <c r="G12" s="66">
        <f>Liabilities!B13</f>
        <v>0</v>
      </c>
      <c r="H12" s="66">
        <f>Liabilities!C13</f>
        <v>0</v>
      </c>
    </row>
    <row r="13" spans="2:8" x14ac:dyDescent="0.2">
      <c r="B13" s="9" t="s">
        <v>202</v>
      </c>
      <c r="C13" s="3">
        <f>Assets!C94</f>
        <v>0</v>
      </c>
      <c r="D13" s="3">
        <f>Assets!D94</f>
        <v>0</v>
      </c>
      <c r="E13" s="39"/>
      <c r="F13" s="169" t="s">
        <v>125</v>
      </c>
      <c r="G13" s="3">
        <f>Liabilities!B14</f>
        <v>0</v>
      </c>
      <c r="H13" s="3">
        <f>Liabilities!C14</f>
        <v>0</v>
      </c>
    </row>
    <row r="14" spans="2:8" x14ac:dyDescent="0.2">
      <c r="C14" s="39"/>
      <c r="D14" s="39"/>
      <c r="E14" s="41"/>
      <c r="F14" s="18"/>
    </row>
    <row r="15" spans="2:8" x14ac:dyDescent="0.2">
      <c r="B15" s="63" t="s">
        <v>190</v>
      </c>
      <c r="C15" s="105"/>
      <c r="D15" s="105"/>
      <c r="E15" s="105"/>
      <c r="F15" s="63" t="s">
        <v>121</v>
      </c>
      <c r="G15" s="61"/>
      <c r="H15" s="61"/>
    </row>
    <row r="16" spans="2:8" x14ac:dyDescent="0.2">
      <c r="C16" s="3"/>
      <c r="D16" s="3"/>
      <c r="E16" s="3"/>
      <c r="F16" s="18" t="str">
        <f>Liabilities!A17</f>
        <v>Restructured Operating Debt</v>
      </c>
      <c r="G16" s="7">
        <f>Liabilities!B17</f>
        <v>0</v>
      </c>
      <c r="H16" s="7">
        <f>Liabilities!C17</f>
        <v>0</v>
      </c>
    </row>
    <row r="17" spans="2:8" x14ac:dyDescent="0.2">
      <c r="B17" t="s">
        <v>191</v>
      </c>
      <c r="C17" s="7">
        <f>Assets!C97</f>
        <v>0</v>
      </c>
      <c r="D17" s="7">
        <f>Assets!D97</f>
        <v>0</v>
      </c>
      <c r="E17" s="7"/>
      <c r="F17" s="18" t="str">
        <f>Liabilities!A18</f>
        <v>Equip Loan #1  (JD,CNH, Kubota)</v>
      </c>
      <c r="G17" s="7">
        <f>Liabilities!B18</f>
        <v>0</v>
      </c>
      <c r="H17" s="7">
        <f>Liabilities!C18</f>
        <v>0</v>
      </c>
    </row>
    <row r="18" spans="2:8" x14ac:dyDescent="0.2">
      <c r="B18" t="s">
        <v>192</v>
      </c>
      <c r="C18" s="7">
        <f>Assets!C98</f>
        <v>0</v>
      </c>
      <c r="D18" s="7">
        <f>Assets!D98</f>
        <v>0</v>
      </c>
      <c r="E18" s="7"/>
      <c r="F18" s="18" t="str">
        <f>Liabilities!A19</f>
        <v xml:space="preserve">Equip Loan #2 </v>
      </c>
      <c r="G18" s="7">
        <f>Liabilities!B19</f>
        <v>0</v>
      </c>
      <c r="H18" s="7">
        <f>Liabilities!C19</f>
        <v>0</v>
      </c>
    </row>
    <row r="19" spans="2:8" x14ac:dyDescent="0.2">
      <c r="B19" t="s">
        <v>193</v>
      </c>
      <c r="C19" s="7">
        <f>Assets!C99</f>
        <v>0</v>
      </c>
      <c r="D19" s="7">
        <f>Assets!D99</f>
        <v>0</v>
      </c>
      <c r="E19" s="39"/>
      <c r="F19" s="18" t="str">
        <f>Liabilities!A20</f>
        <v>Pick-up Truck Loan</v>
      </c>
      <c r="G19" s="7">
        <f>Liabilities!B20</f>
        <v>0</v>
      </c>
      <c r="H19" s="7">
        <f>Liabilities!C20</f>
        <v>0</v>
      </c>
    </row>
    <row r="20" spans="2:8" x14ac:dyDescent="0.2">
      <c r="B20" t="s">
        <v>194</v>
      </c>
      <c r="C20" s="7">
        <f>Assets!C100</f>
        <v>0</v>
      </c>
      <c r="D20" s="7">
        <f>Assets!D100</f>
        <v>0</v>
      </c>
      <c r="E20" s="39"/>
      <c r="F20" s="18" t="str">
        <f>Liabilities!A21</f>
        <v>Agri-Credit Loan</v>
      </c>
      <c r="G20" s="7">
        <f>Liabilities!B21</f>
        <v>0</v>
      </c>
      <c r="H20" s="7">
        <f>Liabilities!C21</f>
        <v>0</v>
      </c>
    </row>
    <row r="21" spans="2:8" x14ac:dyDescent="0.2">
      <c r="B21" t="s">
        <v>195</v>
      </c>
      <c r="C21" s="7">
        <f>Assets!C101</f>
        <v>0</v>
      </c>
      <c r="D21" s="7">
        <f>Assets!D101</f>
        <v>0</v>
      </c>
      <c r="E21" s="7"/>
      <c r="F21" s="18" t="str">
        <f>Liabilities!A22</f>
        <v>Wells Fargo Loan</v>
      </c>
      <c r="G21" s="7">
        <f>Liabilities!B22</f>
        <v>0</v>
      </c>
      <c r="H21" s="7">
        <f>Liabilities!C22</f>
        <v>0</v>
      </c>
    </row>
    <row r="22" spans="2:8" x14ac:dyDescent="0.2">
      <c r="B22" t="s">
        <v>115</v>
      </c>
      <c r="C22" s="7">
        <f>Assets!C102</f>
        <v>0</v>
      </c>
      <c r="D22" s="7">
        <f>Assets!D102</f>
        <v>0</v>
      </c>
      <c r="E22" s="39"/>
      <c r="F22" s="18" t="str">
        <f>Liabilities!A23</f>
        <v>Capital Line #2</v>
      </c>
      <c r="G22" s="7">
        <f>Liabilities!B23</f>
        <v>0</v>
      </c>
      <c r="H22" s="7">
        <f>Liabilities!C23</f>
        <v>0</v>
      </c>
    </row>
    <row r="23" spans="2:8" x14ac:dyDescent="0.2">
      <c r="B23" t="s">
        <v>255</v>
      </c>
      <c r="C23" s="7">
        <f>Assets!C103</f>
        <v>0</v>
      </c>
      <c r="D23" s="7">
        <f>Assets!D103</f>
        <v>0</v>
      </c>
      <c r="E23" s="39"/>
      <c r="F23" s="18" t="str">
        <f>Liabilities!A24</f>
        <v>Capital Line #3</v>
      </c>
      <c r="G23" s="7">
        <f>Liabilities!B24</f>
        <v>0</v>
      </c>
      <c r="H23" s="7">
        <f>Liabilities!C24</f>
        <v>0</v>
      </c>
    </row>
    <row r="24" spans="2:8" x14ac:dyDescent="0.2">
      <c r="B24" t="s">
        <v>256</v>
      </c>
      <c r="C24" s="7">
        <f>Assets!C104</f>
        <v>0</v>
      </c>
      <c r="D24" s="7">
        <f>Assets!D104</f>
        <v>0</v>
      </c>
      <c r="E24" s="39"/>
      <c r="F24" s="18" t="str">
        <f>Liabilities!A25</f>
        <v>NYS Labor Camp Loan #1</v>
      </c>
      <c r="G24" s="7">
        <f>Liabilities!B25</f>
        <v>0</v>
      </c>
      <c r="H24" s="7">
        <f>Liabilities!C25</f>
        <v>0</v>
      </c>
    </row>
    <row r="25" spans="2:8" x14ac:dyDescent="0.2">
      <c r="B25" s="61" t="s">
        <v>370</v>
      </c>
      <c r="C25" s="66">
        <f>Assets!C105</f>
        <v>0</v>
      </c>
      <c r="D25" s="66">
        <f>Assets!D105</f>
        <v>0</v>
      </c>
      <c r="E25" s="39"/>
      <c r="F25" s="61" t="str">
        <f>Liabilities!A26</f>
        <v>NYS Labor Camp Loan #2</v>
      </c>
      <c r="G25" s="66">
        <f>Liabilities!B26</f>
        <v>0</v>
      </c>
      <c r="H25" s="66">
        <f>Liabilities!C26</f>
        <v>0</v>
      </c>
    </row>
    <row r="26" spans="2:8" x14ac:dyDescent="0.2">
      <c r="B26" s="9" t="s">
        <v>671</v>
      </c>
      <c r="C26" s="3">
        <f>Assets!C106</f>
        <v>0</v>
      </c>
      <c r="D26" s="3">
        <f>Assets!D106</f>
        <v>0</v>
      </c>
      <c r="E26" s="39"/>
      <c r="F26" s="169" t="s">
        <v>126</v>
      </c>
      <c r="G26" s="3">
        <f>Liabilities!B27</f>
        <v>0</v>
      </c>
      <c r="H26" s="3">
        <f>Liabilities!C27</f>
        <v>0</v>
      </c>
    </row>
    <row r="27" spans="2:8" x14ac:dyDescent="0.2">
      <c r="C27" s="39"/>
      <c r="D27" s="39"/>
      <c r="E27" s="39"/>
    </row>
    <row r="28" spans="2:8" x14ac:dyDescent="0.2">
      <c r="B28" s="63" t="s">
        <v>196</v>
      </c>
      <c r="C28" s="25"/>
      <c r="D28" s="25"/>
      <c r="E28" s="25"/>
      <c r="F28" s="63" t="s">
        <v>122</v>
      </c>
      <c r="G28" s="61"/>
      <c r="H28" s="61"/>
    </row>
    <row r="29" spans="2:8" x14ac:dyDescent="0.2">
      <c r="B29" t="s">
        <v>197</v>
      </c>
      <c r="E29" s="7"/>
      <c r="F29" s="44" t="str">
        <f>Liabilities!A30</f>
        <v>Mortgage #1:</v>
      </c>
      <c r="G29" s="7">
        <f>Liabilities!B30</f>
        <v>0</v>
      </c>
      <c r="H29" s="7">
        <f>Liabilities!C30</f>
        <v>0</v>
      </c>
    </row>
    <row r="30" spans="2:8" x14ac:dyDescent="0.2">
      <c r="B30" t="s">
        <v>198</v>
      </c>
      <c r="C30" s="7">
        <f>Assets!C110</f>
        <v>0</v>
      </c>
      <c r="D30" s="7">
        <f>Assets!D110</f>
        <v>0</v>
      </c>
      <c r="E30" s="7"/>
      <c r="F30" s="44" t="str">
        <f>Liabilities!A31</f>
        <v>Mortgage #2 :</v>
      </c>
      <c r="G30" s="7">
        <f>Liabilities!B31</f>
        <v>0</v>
      </c>
      <c r="H30" s="7">
        <f>Liabilities!C31</f>
        <v>0</v>
      </c>
    </row>
    <row r="31" spans="2:8" x14ac:dyDescent="0.2">
      <c r="B31" t="s">
        <v>199</v>
      </c>
      <c r="C31" s="7">
        <f>Assets!C111</f>
        <v>0</v>
      </c>
      <c r="D31" s="7">
        <f>Assets!D111</f>
        <v>0</v>
      </c>
      <c r="E31" s="7"/>
      <c r="F31" s="44" t="str">
        <f>Liabilities!A32</f>
        <v xml:space="preserve">Mortgage #3 </v>
      </c>
      <c r="G31" s="7">
        <f>Liabilities!B32</f>
        <v>0</v>
      </c>
      <c r="H31" s="7">
        <f>Liabilities!C32</f>
        <v>0</v>
      </c>
    </row>
    <row r="32" spans="2:8" x14ac:dyDescent="0.2">
      <c r="B32" t="s">
        <v>348</v>
      </c>
      <c r="C32" s="7">
        <f>Assets!C112</f>
        <v>0</v>
      </c>
      <c r="D32" s="7">
        <f>Assets!D112</f>
        <v>0</v>
      </c>
      <c r="E32" s="7"/>
      <c r="F32" s="44" t="str">
        <f>Liabilities!A33</f>
        <v>Long Term Loan #1 -</v>
      </c>
      <c r="G32" s="7">
        <f>Liabilities!B33</f>
        <v>0</v>
      </c>
      <c r="H32" s="7">
        <f>Liabilities!C33</f>
        <v>0</v>
      </c>
    </row>
    <row r="33" spans="2:8" x14ac:dyDescent="0.2">
      <c r="B33" s="61" t="s">
        <v>370</v>
      </c>
      <c r="C33" s="66">
        <f>Assets!C113</f>
        <v>0</v>
      </c>
      <c r="D33" s="66">
        <f>Assets!D113</f>
        <v>0</v>
      </c>
      <c r="E33" s="39"/>
      <c r="F33" s="129" t="str">
        <f>Liabilities!A34</f>
        <v>Long Term Loan #2 -</v>
      </c>
      <c r="G33" s="66">
        <f>Liabilities!B34</f>
        <v>0</v>
      </c>
      <c r="H33" s="66">
        <f>Liabilities!C34</f>
        <v>0</v>
      </c>
    </row>
    <row r="34" spans="2:8" x14ac:dyDescent="0.2">
      <c r="B34" s="9" t="s">
        <v>672</v>
      </c>
      <c r="C34" s="3">
        <f>Assets!C114</f>
        <v>0</v>
      </c>
      <c r="D34" s="3">
        <f>Assets!D114</f>
        <v>0</v>
      </c>
      <c r="E34" s="39"/>
      <c r="F34" s="169" t="s">
        <v>127</v>
      </c>
      <c r="G34" s="3">
        <f>Liabilities!B35</f>
        <v>0</v>
      </c>
      <c r="H34" s="3">
        <f>Liabilities!C35</f>
        <v>0</v>
      </c>
    </row>
    <row r="35" spans="2:8" x14ac:dyDescent="0.2">
      <c r="B35" s="61"/>
      <c r="C35" s="25"/>
      <c r="D35" s="25"/>
      <c r="E35" s="14"/>
      <c r="F35" s="61"/>
      <c r="G35" s="61"/>
      <c r="H35" s="61"/>
    </row>
    <row r="36" spans="2:8" x14ac:dyDescent="0.2">
      <c r="B36" s="9" t="s">
        <v>203</v>
      </c>
      <c r="C36" s="3">
        <f>SUM(C13,C26,C34)</f>
        <v>0</v>
      </c>
      <c r="D36" s="3">
        <f>SUM(D13,D26,D34)</f>
        <v>0</v>
      </c>
      <c r="E36" s="7"/>
      <c r="F36" s="169" t="s">
        <v>171</v>
      </c>
      <c r="G36" s="3">
        <f>SUM(G13,G26,G34)</f>
        <v>0</v>
      </c>
      <c r="H36" s="3">
        <f>SUM(H13,H26,H34)</f>
        <v>0</v>
      </c>
    </row>
    <row r="37" spans="2:8" x14ac:dyDescent="0.2">
      <c r="B37" s="9"/>
      <c r="C37" s="3"/>
      <c r="D37" s="3"/>
      <c r="E37" s="3"/>
    </row>
    <row r="38" spans="2:8" x14ac:dyDescent="0.2">
      <c r="B38" s="9" t="s">
        <v>477</v>
      </c>
      <c r="C38" s="133" t="e">
        <f>G38/C36</f>
        <v>#DIV/0!</v>
      </c>
      <c r="D38" s="133" t="e">
        <f>H38/D36</f>
        <v>#DIV/0!</v>
      </c>
      <c r="E38" s="7"/>
      <c r="F38" s="63" t="s">
        <v>434</v>
      </c>
      <c r="G38" s="25">
        <f>C36-G36</f>
        <v>0</v>
      </c>
      <c r="H38" s="25">
        <f>D36-H36</f>
        <v>0</v>
      </c>
    </row>
    <row r="39" spans="2:8" x14ac:dyDescent="0.2">
      <c r="B39" s="9" t="s">
        <v>175</v>
      </c>
      <c r="C39" s="2" t="e">
        <f>G36/'Prdtn &amp; Acres'!I45</f>
        <v>#DIV/0!</v>
      </c>
      <c r="D39" s="2" t="e">
        <f>H36/'Prdtn &amp; Acres'!I45</f>
        <v>#DIV/0!</v>
      </c>
      <c r="E39" s="7"/>
      <c r="F39" s="758" t="s">
        <v>939</v>
      </c>
      <c r="H39" s="665">
        <f>H38-G38</f>
        <v>0</v>
      </c>
    </row>
  </sheetData>
  <sheetProtection password="DA6F" sheet="1" objects="1" scenarios="1"/>
  <mergeCells count="1">
    <mergeCell ref="E1:G1"/>
  </mergeCells>
  <phoneticPr fontId="0" type="noConversion"/>
  <printOptions horizontalCentered="1" verticalCentered="1"/>
  <pageMargins left="0.5" right="0.5" top="0.5" bottom="0.5" header="0.5" footer="0.25"/>
  <pageSetup scale="105" orientation="landscape" blackAndWhite="1" horizontalDpi="4294967294" verticalDpi="300" r:id="rId1"/>
  <headerFooter alignWithMargins="0">
    <oddFooter xml:space="preserve">&amp;LPrinted: &amp;D &amp;T&amp;RDeveloped by A. DeMarree CCE 2004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topLeftCell="B1" workbookViewId="0">
      <selection activeCell="J25" sqref="J25"/>
    </sheetView>
  </sheetViews>
  <sheetFormatPr defaultRowHeight="12.75" x14ac:dyDescent="0.2"/>
  <cols>
    <col min="1" max="1" width="4" customWidth="1"/>
    <col min="2" max="2" width="40.5703125" customWidth="1"/>
    <col min="3" max="3" width="12.85546875" customWidth="1"/>
    <col min="4" max="5" width="12.7109375" customWidth="1"/>
    <col min="6" max="6" width="7.42578125" customWidth="1"/>
    <col min="7" max="7" width="8.5703125" customWidth="1"/>
    <col min="9" max="9" width="10.140625" customWidth="1"/>
  </cols>
  <sheetData>
    <row r="1" spans="2:9" x14ac:dyDescent="0.2">
      <c r="B1" s="9" t="s">
        <v>673</v>
      </c>
      <c r="C1" s="1" t="str">
        <f>'Farm Info'!C5</f>
        <v>2014</v>
      </c>
      <c r="D1" s="815">
        <f>'Farm Info'!C9</f>
        <v>0</v>
      </c>
      <c r="E1" s="815"/>
      <c r="F1" s="815"/>
      <c r="G1" s="663">
        <f>'Prdtn &amp; Acres'!I43</f>
        <v>0</v>
      </c>
      <c r="H1" s="658">
        <f>'Prdtn &amp; Acres'!L92/42</f>
        <v>0</v>
      </c>
      <c r="I1" s="583">
        <f>SUM(C4:C10)</f>
        <v>0</v>
      </c>
    </row>
    <row r="2" spans="2:9" x14ac:dyDescent="0.2">
      <c r="B2" s="9"/>
      <c r="G2" s="1" t="s">
        <v>140</v>
      </c>
      <c r="H2" s="1" t="s">
        <v>864</v>
      </c>
      <c r="I2" s="1" t="s">
        <v>866</v>
      </c>
    </row>
    <row r="3" spans="2:9" x14ac:dyDescent="0.2">
      <c r="B3" s="304" t="s">
        <v>383</v>
      </c>
      <c r="C3" s="22" t="s">
        <v>623</v>
      </c>
      <c r="D3" s="61"/>
      <c r="E3" s="816" t="s">
        <v>745</v>
      </c>
      <c r="F3" s="816"/>
      <c r="G3" s="22" t="s">
        <v>868</v>
      </c>
      <c r="H3" s="22" t="s">
        <v>865</v>
      </c>
      <c r="I3" s="22" t="s">
        <v>867</v>
      </c>
    </row>
    <row r="4" spans="2:9" x14ac:dyDescent="0.2">
      <c r="B4" t="s">
        <v>594</v>
      </c>
      <c r="C4" s="2">
        <f>'Cash Inc.'!G4+'Cash Inc.'!G11</f>
        <v>0</v>
      </c>
      <c r="E4" s="133" t="e">
        <f>SUM(C4:C6)/$E$20</f>
        <v>#DIV/0!</v>
      </c>
      <c r="G4" s="69"/>
    </row>
    <row r="5" spans="2:9" x14ac:dyDescent="0.2">
      <c r="B5" t="s">
        <v>595</v>
      </c>
      <c r="C5" s="2">
        <f>'Cash Inc.'!G9+'Cash Inc.'!G13+'Cash Inc.'!G15+'Cash Inc.'!G17</f>
        <v>0</v>
      </c>
    </row>
    <row r="6" spans="2:9" x14ac:dyDescent="0.2">
      <c r="B6" t="s">
        <v>596</v>
      </c>
      <c r="C6" s="2">
        <f>'Cash Inc.'!G21+'Cash Inc.'!G22+'Cash Inc.'!G25+'Cash Inc.'!G27+'Cash Inc.'!G29+'Cash Inc.'!G32</f>
        <v>0</v>
      </c>
    </row>
    <row r="7" spans="2:9" x14ac:dyDescent="0.2">
      <c r="B7" t="s">
        <v>597</v>
      </c>
      <c r="C7" s="2">
        <f>'Cash Inc.'!G5+'Cash Inc.'!G6+'Cash Inc.'!G12</f>
        <v>0</v>
      </c>
      <c r="E7" s="133" t="e">
        <f>SUM(C7:C9)/$E$20</f>
        <v>#DIV/0!</v>
      </c>
    </row>
    <row r="8" spans="2:9" x14ac:dyDescent="0.2">
      <c r="B8" t="s">
        <v>595</v>
      </c>
      <c r="C8" s="2">
        <f>'Cash Inc.'!G8+'Cash Inc.'!G10+'Cash Inc.'!G14+'Cash Inc.'!G16</f>
        <v>0</v>
      </c>
    </row>
    <row r="9" spans="2:9" x14ac:dyDescent="0.2">
      <c r="B9" t="s">
        <v>674</v>
      </c>
      <c r="C9" s="2">
        <f>'Cash Inc.'!G19+'Cash Inc.'!G20+'Cash Inc.'!G23+'Cash Inc.'!G24+'Cash Inc.'!D26+'Cash Inc.'!D28+'Cash Inc.'!G30</f>
        <v>0</v>
      </c>
    </row>
    <row r="10" spans="2:9" x14ac:dyDescent="0.2">
      <c r="B10" t="s">
        <v>622</v>
      </c>
      <c r="C10" s="2">
        <f>'Cash Inc.'!G18</f>
        <v>0</v>
      </c>
    </row>
    <row r="11" spans="2:9" x14ac:dyDescent="0.2">
      <c r="B11" t="s">
        <v>576</v>
      </c>
      <c r="C11" s="2">
        <f>'Cash Inc.'!G42</f>
        <v>0</v>
      </c>
    </row>
    <row r="12" spans="2:9" x14ac:dyDescent="0.2">
      <c r="B12" s="61" t="s">
        <v>575</v>
      </c>
      <c r="C12" s="67">
        <f>'Cash Inc.'!G43</f>
        <v>0</v>
      </c>
      <c r="D12" s="61"/>
      <c r="E12" s="61"/>
      <c r="F12" s="61"/>
      <c r="G12" s="61"/>
      <c r="H12" s="61"/>
      <c r="I12" s="61"/>
    </row>
    <row r="13" spans="2:9" x14ac:dyDescent="0.2">
      <c r="B13" s="9" t="s">
        <v>675</v>
      </c>
      <c r="D13" s="188">
        <f>SUM(C4:C12)</f>
        <v>0</v>
      </c>
      <c r="E13" s="133" t="e">
        <f>D13/$E$20</f>
        <v>#DIV/0!</v>
      </c>
      <c r="G13" s="660" t="e">
        <f>D13/$G$1</f>
        <v>#DIV/0!</v>
      </c>
      <c r="H13" s="69" t="e">
        <f>D13/H1</f>
        <v>#DIV/0!</v>
      </c>
      <c r="I13" s="69" t="e">
        <f>D13/I1</f>
        <v>#DIV/0!</v>
      </c>
    </row>
    <row r="14" spans="2:9" x14ac:dyDescent="0.2">
      <c r="B14" t="s">
        <v>627</v>
      </c>
      <c r="C14" s="2">
        <f>'Cash Inc.'!G44+'Cash Inc.'!G45+'Cash Inc.'!G46</f>
        <v>0</v>
      </c>
      <c r="D14" s="54"/>
    </row>
    <row r="15" spans="2:9" x14ac:dyDescent="0.2">
      <c r="B15" t="s">
        <v>628</v>
      </c>
      <c r="C15" s="2">
        <f>'Cash Inc.'!G47+'Cash Inc.'!G48</f>
        <v>0</v>
      </c>
      <c r="D15" s="54"/>
    </row>
    <row r="16" spans="2:9" x14ac:dyDescent="0.2">
      <c r="B16" t="s">
        <v>85</v>
      </c>
      <c r="C16" s="2">
        <f>'Cash Inc.'!G51</f>
        <v>0</v>
      </c>
      <c r="D16" s="54"/>
    </row>
    <row r="17" spans="2:9" x14ac:dyDescent="0.2">
      <c r="B17" t="s">
        <v>245</v>
      </c>
      <c r="C17" s="2">
        <f>'Cash Inc.'!G52</f>
        <v>0</v>
      </c>
      <c r="D17" s="54"/>
    </row>
    <row r="18" spans="2:9" x14ac:dyDescent="0.2">
      <c r="B18" s="61" t="s">
        <v>577</v>
      </c>
      <c r="C18" s="67">
        <f>'Cash Inc.'!G49+'Cash Inc.'!G50+'Cash Inc.'!G53+'Cash Inc.'!G54</f>
        <v>0</v>
      </c>
      <c r="D18" s="124"/>
      <c r="E18" s="61"/>
      <c r="F18" s="61"/>
      <c r="G18" s="61"/>
      <c r="H18" s="61"/>
      <c r="I18" s="61"/>
    </row>
    <row r="19" spans="2:9" ht="13.5" thickBot="1" x14ac:dyDescent="0.25">
      <c r="B19" s="667" t="s">
        <v>639</v>
      </c>
      <c r="C19" s="668"/>
      <c r="D19" s="669">
        <f>SUM(C14:C18)</f>
        <v>0</v>
      </c>
      <c r="E19" s="670" t="e">
        <f>D19/$E$20</f>
        <v>#DIV/0!</v>
      </c>
      <c r="F19" s="671"/>
      <c r="G19" s="672" t="e">
        <f>D19/$G$1</f>
        <v>#DIV/0!</v>
      </c>
      <c r="H19" s="673" t="e">
        <f>D19/H1</f>
        <v>#DIV/0!</v>
      </c>
      <c r="I19" s="673" t="e">
        <f>D19/I1</f>
        <v>#DIV/0!</v>
      </c>
    </row>
    <row r="20" spans="2:9" ht="14.25" thickTop="1" thickBot="1" x14ac:dyDescent="0.25">
      <c r="B20" s="674" t="s">
        <v>677</v>
      </c>
      <c r="C20" s="675"/>
      <c r="D20" s="675"/>
      <c r="E20" s="676">
        <f>SUM(D13:D19)</f>
        <v>0</v>
      </c>
      <c r="F20" s="675"/>
      <c r="G20" s="677" t="e">
        <f>E20/$G$1</f>
        <v>#DIV/0!</v>
      </c>
      <c r="H20" s="678" t="e">
        <f>E20/H1</f>
        <v>#DIV/0!</v>
      </c>
      <c r="I20" s="679" t="e">
        <f>E20/I1</f>
        <v>#DIV/0!</v>
      </c>
    </row>
    <row r="21" spans="2:9" x14ac:dyDescent="0.2">
      <c r="B21" s="9"/>
    </row>
    <row r="22" spans="2:9" x14ac:dyDescent="0.2">
      <c r="B22" s="304" t="s">
        <v>24</v>
      </c>
      <c r="C22" s="61"/>
      <c r="D22" s="61"/>
      <c r="E22" s="816" t="s">
        <v>746</v>
      </c>
      <c r="F22" s="816"/>
      <c r="G22" s="655"/>
      <c r="H22" s="61"/>
      <c r="I22" s="61"/>
    </row>
    <row r="23" spans="2:9" x14ac:dyDescent="0.2">
      <c r="B23" t="s">
        <v>578</v>
      </c>
      <c r="D23" s="3">
        <f>Expenses!F7+Expenses!F15</f>
        <v>0</v>
      </c>
      <c r="E23" s="133" t="e">
        <f>D23/$E$55</f>
        <v>#DIV/0!</v>
      </c>
      <c r="G23" s="664" t="e">
        <f>D23/$G$1</f>
        <v>#DIV/0!</v>
      </c>
      <c r="H23" s="661" t="e">
        <f>D23/$H$1</f>
        <v>#DIV/0!</v>
      </c>
      <c r="I23" s="661" t="e">
        <f>D23/$I$1</f>
        <v>#DIV/0!</v>
      </c>
    </row>
    <row r="24" spans="2:9" x14ac:dyDescent="0.2">
      <c r="C24" s="2"/>
      <c r="D24" s="2"/>
    </row>
    <row r="25" spans="2:9" x14ac:dyDescent="0.2">
      <c r="B25" s="759" t="s">
        <v>940</v>
      </c>
      <c r="C25" s="2">
        <f>Expenses!F20</f>
        <v>0</v>
      </c>
      <c r="D25" s="2"/>
      <c r="G25" s="665" t="e">
        <f>C25/$G$1</f>
        <v>#DIV/0!</v>
      </c>
      <c r="H25" s="659" t="e">
        <f>C25/$H$1</f>
        <v>#DIV/0!</v>
      </c>
      <c r="I25" s="659" t="e">
        <f>C25/$I$1</f>
        <v>#DIV/0!</v>
      </c>
    </row>
    <row r="26" spans="2:9" x14ac:dyDescent="0.2">
      <c r="B26" s="54" t="s">
        <v>57</v>
      </c>
      <c r="C26" s="2">
        <f>Expenses!F21</f>
        <v>0</v>
      </c>
      <c r="D26" s="2"/>
      <c r="G26" s="665" t="e">
        <f>C26/$G$1</f>
        <v>#DIV/0!</v>
      </c>
      <c r="H26" s="659" t="e">
        <f>C26/$H$1</f>
        <v>#DIV/0!</v>
      </c>
      <c r="I26" s="659" t="e">
        <f>C26/$I$1</f>
        <v>#DIV/0!</v>
      </c>
    </row>
    <row r="27" spans="2:9" x14ac:dyDescent="0.2">
      <c r="B27" s="54" t="s">
        <v>396</v>
      </c>
      <c r="C27" s="2">
        <f>Expenses!F22</f>
        <v>0</v>
      </c>
      <c r="D27" s="2"/>
      <c r="G27" s="665" t="e">
        <f>C27/$G$1</f>
        <v>#DIV/0!</v>
      </c>
      <c r="H27" s="659" t="e">
        <f>C27/$H$1</f>
        <v>#DIV/0!</v>
      </c>
      <c r="I27" s="659" t="e">
        <f>C27/$I$1</f>
        <v>#DIV/0!</v>
      </c>
    </row>
    <row r="28" spans="2:9" x14ac:dyDescent="0.2">
      <c r="B28" s="54" t="s">
        <v>579</v>
      </c>
      <c r="C28" s="2">
        <f>Expenses!F23</f>
        <v>0</v>
      </c>
      <c r="D28" s="2"/>
      <c r="G28" s="665" t="e">
        <f>C28/$G$1</f>
        <v>#DIV/0!</v>
      </c>
      <c r="H28" s="659" t="e">
        <f>C28/$H$1</f>
        <v>#DIV/0!</v>
      </c>
      <c r="I28" s="659" t="e">
        <f>C28/$I$1</f>
        <v>#DIV/0!</v>
      </c>
    </row>
    <row r="29" spans="2:9" x14ac:dyDescent="0.2">
      <c r="B29" s="124" t="s">
        <v>591</v>
      </c>
      <c r="C29" s="67">
        <f>Expenses!F41</f>
        <v>0</v>
      </c>
      <c r="D29" s="61"/>
      <c r="E29" s="61"/>
      <c r="F29" s="61"/>
      <c r="G29" s="666" t="e">
        <f>C29/$G$1</f>
        <v>#DIV/0!</v>
      </c>
      <c r="H29" s="662" t="e">
        <f>C29/$H$1</f>
        <v>#DIV/0!</v>
      </c>
      <c r="I29" s="662" t="e">
        <f>C29/$I$1</f>
        <v>#DIV/0!</v>
      </c>
    </row>
    <row r="30" spans="2:9" x14ac:dyDescent="0.2">
      <c r="C30" s="2"/>
      <c r="D30" s="3">
        <f>SUM(C25:C29)</f>
        <v>0</v>
      </c>
      <c r="E30" s="133" t="e">
        <f>D30/$E$55</f>
        <v>#DIV/0!</v>
      </c>
      <c r="G30" s="664" t="e">
        <f>D30/$G$1</f>
        <v>#DIV/0!</v>
      </c>
      <c r="H30" s="661" t="e">
        <f>D30/$H$1</f>
        <v>#DIV/0!</v>
      </c>
      <c r="I30" s="661" t="e">
        <f>D30/$I$1</f>
        <v>#DIV/0!</v>
      </c>
    </row>
    <row r="31" spans="2:9" x14ac:dyDescent="0.2">
      <c r="B31" s="54" t="s">
        <v>581</v>
      </c>
      <c r="C31" s="2">
        <f>Expenses!F16</f>
        <v>0</v>
      </c>
      <c r="D31" s="2"/>
      <c r="G31" s="665" t="e">
        <f>C31/$G$1</f>
        <v>#DIV/0!</v>
      </c>
      <c r="H31" s="659" t="e">
        <f>C31/$H$1</f>
        <v>#DIV/0!</v>
      </c>
      <c r="I31" s="659" t="e">
        <f>C31/$I$1</f>
        <v>#DIV/0!</v>
      </c>
    </row>
    <row r="32" spans="2:9" x14ac:dyDescent="0.2">
      <c r="B32" t="s">
        <v>395</v>
      </c>
      <c r="C32" s="2">
        <f>Expenses!F17</f>
        <v>0</v>
      </c>
      <c r="D32" s="2"/>
      <c r="G32" s="665" t="e">
        <f>C32/$G$1</f>
        <v>#DIV/0!</v>
      </c>
      <c r="H32" s="659" t="e">
        <f>C32/$H$1</f>
        <v>#DIV/0!</v>
      </c>
      <c r="I32" s="659" t="e">
        <f>C32/$I$1</f>
        <v>#DIV/0!</v>
      </c>
    </row>
    <row r="33" spans="2:9" x14ac:dyDescent="0.2">
      <c r="B33" t="s">
        <v>582</v>
      </c>
      <c r="C33" s="2">
        <f>Expenses!F18</f>
        <v>0</v>
      </c>
      <c r="D33" s="2"/>
      <c r="G33" s="665" t="e">
        <f>C33/$G$1</f>
        <v>#DIV/0!</v>
      </c>
      <c r="H33" s="659" t="e">
        <f>C33/$H$1</f>
        <v>#DIV/0!</v>
      </c>
      <c r="I33" s="659" t="e">
        <f>C33/$I$1</f>
        <v>#DIV/0!</v>
      </c>
    </row>
    <row r="34" spans="2:9" x14ac:dyDescent="0.2">
      <c r="B34" t="s">
        <v>583</v>
      </c>
      <c r="C34" s="2">
        <f>Expenses!F19</f>
        <v>0</v>
      </c>
      <c r="D34" s="2"/>
      <c r="G34" s="665" t="e">
        <f>C34/$G$1</f>
        <v>#DIV/0!</v>
      </c>
      <c r="H34" s="659" t="e">
        <f>C34/$H$1</f>
        <v>#DIV/0!</v>
      </c>
      <c r="I34" s="659" t="e">
        <f>C34/$I$1</f>
        <v>#DIV/0!</v>
      </c>
    </row>
    <row r="35" spans="2:9" x14ac:dyDescent="0.2">
      <c r="B35" s="61" t="s">
        <v>590</v>
      </c>
      <c r="C35" s="67">
        <f>Expenses!F39</f>
        <v>0</v>
      </c>
      <c r="D35" s="61"/>
      <c r="E35" s="61"/>
      <c r="F35" s="61"/>
      <c r="G35" s="666" t="e">
        <f>C35/$G$1</f>
        <v>#DIV/0!</v>
      </c>
      <c r="H35" s="662" t="e">
        <f>C35/$H$1</f>
        <v>#DIV/0!</v>
      </c>
      <c r="I35" s="662" t="e">
        <f>C35/$I$1</f>
        <v>#DIV/0!</v>
      </c>
    </row>
    <row r="36" spans="2:9" x14ac:dyDescent="0.2">
      <c r="C36" s="2"/>
      <c r="D36" s="3">
        <f>SUM(C31:C35)</f>
        <v>0</v>
      </c>
      <c r="E36" s="133" t="e">
        <f>D36/$E$55</f>
        <v>#DIV/0!</v>
      </c>
      <c r="G36" s="664" t="e">
        <f>D36/$G$1</f>
        <v>#DIV/0!</v>
      </c>
      <c r="H36" s="661" t="e">
        <f>D36/$H$1</f>
        <v>#DIV/0!</v>
      </c>
      <c r="I36" s="661" t="e">
        <f>D36/$I$1</f>
        <v>#DIV/0!</v>
      </c>
    </row>
    <row r="37" spans="2:9" x14ac:dyDescent="0.2">
      <c r="B37" t="s">
        <v>584</v>
      </c>
      <c r="C37" s="2">
        <f>Expenses!F24</f>
        <v>0</v>
      </c>
      <c r="D37" s="2"/>
      <c r="G37" s="665" t="e">
        <f>C37/$G$1</f>
        <v>#DIV/0!</v>
      </c>
      <c r="H37" s="659" t="e">
        <f>C37/$H$1</f>
        <v>#DIV/0!</v>
      </c>
      <c r="I37" s="659" t="e">
        <f>C37/$I$1</f>
        <v>#DIV/0!</v>
      </c>
    </row>
    <row r="38" spans="2:9" x14ac:dyDescent="0.2">
      <c r="B38" t="s">
        <v>45</v>
      </c>
      <c r="C38" s="2">
        <f>Expenses!F25</f>
        <v>0</v>
      </c>
      <c r="D38" s="2"/>
      <c r="G38" s="665" t="e">
        <f t="shared" ref="G38:G53" si="0">C38/$G$1</f>
        <v>#DIV/0!</v>
      </c>
      <c r="H38" s="659" t="e">
        <f>C38/$H$1</f>
        <v>#DIV/0!</v>
      </c>
      <c r="I38" s="659" t="e">
        <f>C38/$I$1</f>
        <v>#DIV/0!</v>
      </c>
    </row>
    <row r="39" spans="2:9" x14ac:dyDescent="0.2">
      <c r="B39" s="54" t="s">
        <v>580</v>
      </c>
      <c r="C39" s="2">
        <f>Expenses!F26</f>
        <v>0</v>
      </c>
      <c r="D39" s="2"/>
      <c r="G39" s="665" t="e">
        <f t="shared" si="0"/>
        <v>#DIV/0!</v>
      </c>
      <c r="H39" s="659" t="e">
        <f>C39/$H$1</f>
        <v>#DIV/0!</v>
      </c>
      <c r="I39" s="659" t="e">
        <f>C39/$I$1</f>
        <v>#DIV/0!</v>
      </c>
    </row>
    <row r="40" spans="2:9" x14ac:dyDescent="0.2">
      <c r="B40" t="s">
        <v>585</v>
      </c>
      <c r="C40" s="2">
        <f>Expenses!F27</f>
        <v>0</v>
      </c>
      <c r="D40" s="2"/>
      <c r="G40" s="665" t="e">
        <f t="shared" si="0"/>
        <v>#DIV/0!</v>
      </c>
      <c r="H40" s="659" t="e">
        <f>C40/$H$1</f>
        <v>#DIV/0!</v>
      </c>
      <c r="I40" s="659" t="e">
        <f>C40/$I$1</f>
        <v>#DIV/0!</v>
      </c>
    </row>
    <row r="41" spans="2:9" x14ac:dyDescent="0.2">
      <c r="B41" s="61" t="s">
        <v>586</v>
      </c>
      <c r="C41" s="67">
        <f>Expenses!F28</f>
        <v>0</v>
      </c>
      <c r="D41" s="61"/>
      <c r="E41" s="61"/>
      <c r="F41" s="61"/>
      <c r="G41" s="666" t="e">
        <f t="shared" si="0"/>
        <v>#DIV/0!</v>
      </c>
      <c r="H41" s="662" t="e">
        <f>C41/$H$1</f>
        <v>#DIV/0!</v>
      </c>
      <c r="I41" s="662" t="e">
        <f>C41/$I$1</f>
        <v>#DIV/0!</v>
      </c>
    </row>
    <row r="42" spans="2:9" x14ac:dyDescent="0.2">
      <c r="C42" s="2"/>
      <c r="D42" s="3">
        <f>SUM(C37:C41)</f>
        <v>0</v>
      </c>
      <c r="E42" s="133" t="e">
        <f>D42/$E$55</f>
        <v>#DIV/0!</v>
      </c>
      <c r="G42" s="664" t="e">
        <f>D42/$G$1</f>
        <v>#DIV/0!</v>
      </c>
      <c r="H42" s="661" t="e">
        <f>D42/$H$1</f>
        <v>#DIV/0!</v>
      </c>
      <c r="I42" s="661" t="e">
        <f>D42/$I$1</f>
        <v>#DIV/0!</v>
      </c>
    </row>
    <row r="43" spans="2:9" x14ac:dyDescent="0.2">
      <c r="B43" t="s">
        <v>587</v>
      </c>
      <c r="C43" s="2">
        <f>Expenses!F29</f>
        <v>0</v>
      </c>
      <c r="D43" s="2"/>
      <c r="G43" s="665" t="e">
        <f t="shared" si="0"/>
        <v>#DIV/0!</v>
      </c>
      <c r="H43" s="659" t="e">
        <f>C43/$H$1</f>
        <v>#DIV/0!</v>
      </c>
      <c r="I43" s="659" t="e">
        <f>C43/$I$1</f>
        <v>#DIV/0!</v>
      </c>
    </row>
    <row r="44" spans="2:9" x14ac:dyDescent="0.2">
      <c r="B44" t="s">
        <v>588</v>
      </c>
      <c r="C44" s="2">
        <f>Expenses!C30</f>
        <v>0</v>
      </c>
      <c r="D44" s="2"/>
      <c r="G44" s="665" t="e">
        <f t="shared" si="0"/>
        <v>#DIV/0!</v>
      </c>
      <c r="H44" s="659" t="e">
        <f>C44/$H$1</f>
        <v>#DIV/0!</v>
      </c>
      <c r="I44" s="659" t="e">
        <f>C44/$I$1</f>
        <v>#DIV/0!</v>
      </c>
    </row>
    <row r="45" spans="2:9" x14ac:dyDescent="0.2">
      <c r="B45" t="s">
        <v>41</v>
      </c>
      <c r="C45" s="2">
        <f>Expenses!F31</f>
        <v>0</v>
      </c>
      <c r="D45" s="2"/>
      <c r="G45" s="665" t="e">
        <f t="shared" si="0"/>
        <v>#DIV/0!</v>
      </c>
      <c r="H45" s="659" t="e">
        <f>C45/$H$1</f>
        <v>#DIV/0!</v>
      </c>
      <c r="I45" s="659" t="e">
        <f>C45/$I$1</f>
        <v>#DIV/0!</v>
      </c>
    </row>
    <row r="46" spans="2:9" x14ac:dyDescent="0.2">
      <c r="B46" s="61" t="s">
        <v>592</v>
      </c>
      <c r="C46" s="67">
        <f>Expenses!F40</f>
        <v>0</v>
      </c>
      <c r="D46" s="61"/>
      <c r="E46" s="61"/>
      <c r="F46" s="61"/>
      <c r="G46" s="666" t="e">
        <f t="shared" si="0"/>
        <v>#DIV/0!</v>
      </c>
      <c r="H46" s="662" t="e">
        <f>C46/$H$1</f>
        <v>#DIV/0!</v>
      </c>
      <c r="I46" s="662" t="e">
        <f>C46/$I$1</f>
        <v>#DIV/0!</v>
      </c>
    </row>
    <row r="47" spans="2:9" x14ac:dyDescent="0.2">
      <c r="C47" s="2"/>
      <c r="D47" s="3">
        <f>SUM(C43:C46)</f>
        <v>0</v>
      </c>
      <c r="E47" s="133" t="e">
        <f>D47/$E$55</f>
        <v>#DIV/0!</v>
      </c>
      <c r="G47" s="664" t="e">
        <f>D47/$G$1</f>
        <v>#DIV/0!</v>
      </c>
      <c r="H47" s="661" t="e">
        <f>D47/$H$1</f>
        <v>#DIV/0!</v>
      </c>
      <c r="I47" s="661" t="e">
        <f>D47/$I$1</f>
        <v>#DIV/0!</v>
      </c>
    </row>
    <row r="48" spans="2:9" x14ac:dyDescent="0.2">
      <c r="B48" t="s">
        <v>589</v>
      </c>
      <c r="C48" s="2">
        <f>Expenses!F32</f>
        <v>0</v>
      </c>
      <c r="D48" s="2"/>
      <c r="G48" s="665" t="e">
        <f t="shared" si="0"/>
        <v>#DIV/0!</v>
      </c>
      <c r="H48" s="659" t="e">
        <f t="shared" ref="H48:H53" si="1">C48/$H$1</f>
        <v>#DIV/0!</v>
      </c>
      <c r="I48" s="659" t="e">
        <f t="shared" ref="I48:I53" si="2">C48/$I$1</f>
        <v>#DIV/0!</v>
      </c>
    </row>
    <row r="49" spans="2:9" x14ac:dyDescent="0.2">
      <c r="B49" t="s">
        <v>626</v>
      </c>
      <c r="C49" s="2">
        <f>Expenses!F33</f>
        <v>0</v>
      </c>
      <c r="D49" s="2"/>
      <c r="G49" s="665" t="e">
        <f t="shared" si="0"/>
        <v>#DIV/0!</v>
      </c>
      <c r="H49" s="659" t="e">
        <f t="shared" si="1"/>
        <v>#DIV/0!</v>
      </c>
      <c r="I49" s="659" t="e">
        <f t="shared" si="2"/>
        <v>#DIV/0!</v>
      </c>
    </row>
    <row r="50" spans="2:9" x14ac:dyDescent="0.2">
      <c r="B50" t="s">
        <v>84</v>
      </c>
      <c r="C50" s="2">
        <f>Expenses!F34</f>
        <v>0</v>
      </c>
      <c r="D50" s="2"/>
      <c r="G50" s="665" t="e">
        <f t="shared" si="0"/>
        <v>#DIV/0!</v>
      </c>
      <c r="H50" s="659" t="e">
        <f t="shared" si="1"/>
        <v>#DIV/0!</v>
      </c>
      <c r="I50" s="659" t="e">
        <f t="shared" si="2"/>
        <v>#DIV/0!</v>
      </c>
    </row>
    <row r="51" spans="2:9" x14ac:dyDescent="0.2">
      <c r="B51" t="s">
        <v>42</v>
      </c>
      <c r="C51" s="2">
        <f>Expenses!F35</f>
        <v>0</v>
      </c>
      <c r="D51" s="2"/>
      <c r="G51" s="665" t="e">
        <f t="shared" si="0"/>
        <v>#DIV/0!</v>
      </c>
      <c r="H51" s="659" t="e">
        <f t="shared" si="1"/>
        <v>#DIV/0!</v>
      </c>
      <c r="I51" s="659" t="e">
        <f t="shared" si="2"/>
        <v>#DIV/0!</v>
      </c>
    </row>
    <row r="52" spans="2:9" x14ac:dyDescent="0.2">
      <c r="B52" t="s">
        <v>43</v>
      </c>
      <c r="C52" s="2">
        <f>Expenses!F36</f>
        <v>0</v>
      </c>
      <c r="D52" s="2"/>
      <c r="G52" s="665" t="e">
        <f t="shared" si="0"/>
        <v>#DIV/0!</v>
      </c>
      <c r="H52" s="659" t="e">
        <f t="shared" si="1"/>
        <v>#DIV/0!</v>
      </c>
      <c r="I52" s="659" t="e">
        <f t="shared" si="2"/>
        <v>#DIV/0!</v>
      </c>
    </row>
    <row r="53" spans="2:9" x14ac:dyDescent="0.2">
      <c r="B53" s="61" t="s">
        <v>44</v>
      </c>
      <c r="C53" s="67">
        <f>Expenses!F37</f>
        <v>0</v>
      </c>
      <c r="D53" s="61"/>
      <c r="E53" s="61"/>
      <c r="F53" s="61"/>
      <c r="G53" s="666" t="e">
        <f t="shared" si="0"/>
        <v>#DIV/0!</v>
      </c>
      <c r="H53" s="662" t="e">
        <f t="shared" si="1"/>
        <v>#DIV/0!</v>
      </c>
      <c r="I53" s="662" t="e">
        <f t="shared" si="2"/>
        <v>#DIV/0!</v>
      </c>
    </row>
    <row r="54" spans="2:9" ht="13.5" thickBot="1" x14ac:dyDescent="0.25">
      <c r="B54" s="671"/>
      <c r="C54" s="668"/>
      <c r="D54" s="680">
        <f>SUM(C48:C53)</f>
        <v>0</v>
      </c>
      <c r="E54" s="670" t="e">
        <f>D54/$E$55</f>
        <v>#DIV/0!</v>
      </c>
      <c r="F54" s="671"/>
      <c r="G54" s="681" t="e">
        <f>D54/$G$1</f>
        <v>#DIV/0!</v>
      </c>
      <c r="H54" s="682" t="e">
        <f>D54/$H$1</f>
        <v>#DIV/0!</v>
      </c>
      <c r="I54" s="682" t="e">
        <f>D54/$I$1</f>
        <v>#DIV/0!</v>
      </c>
    </row>
    <row r="55" spans="2:9" ht="14.25" thickTop="1" thickBot="1" x14ac:dyDescent="0.25">
      <c r="B55" s="297" t="s">
        <v>676</v>
      </c>
      <c r="C55" s="683"/>
      <c r="D55" s="282"/>
      <c r="E55" s="683">
        <f>SUM(D23:D54)</f>
        <v>0</v>
      </c>
      <c r="F55" s="282"/>
      <c r="G55" s="683" t="e">
        <f>E55/$G$1</f>
        <v>#DIV/0!</v>
      </c>
      <c r="H55" s="684" t="e">
        <f>E55/$H$1</f>
        <v>#DIV/0!</v>
      </c>
      <c r="I55" s="684" t="e">
        <f>E55/$I$1</f>
        <v>#DIV/0!</v>
      </c>
    </row>
    <row r="57" spans="2:9" ht="13.5" thickBot="1" x14ac:dyDescent="0.25">
      <c r="B57" s="685" t="s">
        <v>593</v>
      </c>
      <c r="C57" s="557"/>
      <c r="D57" s="557"/>
      <c r="E57" s="686">
        <f>E20-E55</f>
        <v>0</v>
      </c>
      <c r="F57" s="557"/>
      <c r="G57" s="686" t="e">
        <f>E57/$G$1</f>
        <v>#DIV/0!</v>
      </c>
      <c r="H57" s="687" t="e">
        <f>E57/$H$1</f>
        <v>#DIV/0!</v>
      </c>
      <c r="I57" s="687" t="e">
        <f>E57/$I$1</f>
        <v>#DIV/0!</v>
      </c>
    </row>
  </sheetData>
  <sheetProtection password="DA6F" sheet="1" objects="1" scenarios="1"/>
  <mergeCells count="3">
    <mergeCell ref="E22:F22"/>
    <mergeCell ref="E3:F3"/>
    <mergeCell ref="D1:F1"/>
  </mergeCells>
  <phoneticPr fontId="0" type="noConversion"/>
  <printOptions horizontalCentered="1" verticalCentered="1"/>
  <pageMargins left="0.25" right="0.25" top="0.25" bottom="0.5" header="0.25" footer="0.5"/>
  <pageSetup scale="85" orientation="portrait" blackAndWhite="1" horizontalDpi="4294967294" verticalDpi="300" r:id="rId1"/>
  <headerFooter alignWithMargins="0">
    <oddFooter>&amp;LPrinted: &amp;D  &amp;T&amp;Rdeveloped by A.DeMarree  CCE 2004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H52" sqref="H52"/>
    </sheetView>
  </sheetViews>
  <sheetFormatPr defaultRowHeight="12.75" x14ac:dyDescent="0.2"/>
  <cols>
    <col min="1" max="1" width="40" customWidth="1"/>
    <col min="2" max="2" width="9.7109375" customWidth="1"/>
    <col min="3" max="3" width="12.28515625" customWidth="1"/>
    <col min="4" max="4" width="4.28515625" customWidth="1"/>
    <col min="5" max="5" width="11.140625" customWidth="1"/>
    <col min="6" max="6" width="4" customWidth="1"/>
    <col min="7" max="7" width="12.7109375" customWidth="1"/>
  </cols>
  <sheetData>
    <row r="1" spans="1:10" ht="15" x14ac:dyDescent="0.25">
      <c r="A1" s="765" t="s">
        <v>722</v>
      </c>
      <c r="B1" s="765"/>
      <c r="C1" s="765"/>
      <c r="D1" s="434"/>
      <c r="E1" s="434" t="str">
        <f>'Farm Info'!C5</f>
        <v>2014</v>
      </c>
      <c r="F1" s="434"/>
      <c r="G1" s="434"/>
      <c r="H1" s="1"/>
      <c r="I1" s="1"/>
      <c r="J1" s="1"/>
    </row>
    <row r="2" spans="1:10" ht="15" x14ac:dyDescent="0.25">
      <c r="A2" s="434"/>
      <c r="B2" s="434"/>
      <c r="C2" s="435"/>
      <c r="D2" s="817">
        <f>'Farm Info'!C9</f>
        <v>0</v>
      </c>
      <c r="E2" s="807"/>
      <c r="F2" s="807"/>
      <c r="G2" s="807"/>
      <c r="H2" s="1"/>
      <c r="I2" s="1"/>
      <c r="J2" s="1"/>
    </row>
    <row r="3" spans="1:10" ht="15" x14ac:dyDescent="0.25">
      <c r="A3" s="433" t="s">
        <v>258</v>
      </c>
      <c r="B3" s="22"/>
      <c r="C3" s="430"/>
      <c r="D3" s="430"/>
      <c r="E3" s="430"/>
      <c r="F3" s="430"/>
      <c r="G3" s="430"/>
      <c r="H3" s="1"/>
      <c r="I3" s="1"/>
      <c r="J3" s="1"/>
    </row>
    <row r="4" spans="1:10" x14ac:dyDescent="0.2">
      <c r="A4" s="140" t="s">
        <v>260</v>
      </c>
      <c r="B4" s="1"/>
      <c r="C4" s="7">
        <f>'Cash Inc.'!B55</f>
        <v>0</v>
      </c>
      <c r="D4" s="7"/>
      <c r="E4" s="388"/>
      <c r="F4" s="144"/>
      <c r="G4" s="144"/>
      <c r="H4" s="1"/>
      <c r="I4" s="1"/>
      <c r="J4" s="1"/>
    </row>
    <row r="5" spans="1:10" x14ac:dyDescent="0.2">
      <c r="A5" s="140" t="s">
        <v>259</v>
      </c>
      <c r="B5" s="1"/>
      <c r="C5" s="389">
        <f>SUM(Expenses!C7,Expenses!C15,Expenses!C16:C37)</f>
        <v>0</v>
      </c>
      <c r="D5" s="389"/>
      <c r="E5" s="429"/>
      <c r="F5" s="144"/>
      <c r="G5" s="144"/>
      <c r="H5" s="1"/>
      <c r="I5" s="1"/>
      <c r="J5" s="1"/>
    </row>
    <row r="6" spans="1:10" x14ac:dyDescent="0.2">
      <c r="A6" s="140" t="s">
        <v>261</v>
      </c>
      <c r="B6" s="1"/>
      <c r="C6" s="7"/>
      <c r="D6" s="7"/>
      <c r="E6" s="141">
        <f>C4-C5</f>
        <v>0</v>
      </c>
      <c r="F6" s="146"/>
      <c r="G6" s="144"/>
      <c r="H6" s="1"/>
      <c r="I6" s="1"/>
      <c r="J6" s="1"/>
    </row>
    <row r="7" spans="1:10" x14ac:dyDescent="0.2">
      <c r="A7" s="142" t="s">
        <v>262</v>
      </c>
      <c r="B7" s="1"/>
      <c r="C7" s="141"/>
      <c r="D7" s="141"/>
      <c r="E7" s="141"/>
      <c r="F7" s="146"/>
      <c r="G7" s="146"/>
      <c r="H7" s="1"/>
      <c r="I7" s="1"/>
      <c r="J7" s="1"/>
    </row>
    <row r="8" spans="1:10" x14ac:dyDescent="0.2">
      <c r="A8" s="140" t="s">
        <v>263</v>
      </c>
      <c r="B8" s="1"/>
      <c r="C8" s="141">
        <f>'Mo. Labor'!C39</f>
        <v>0</v>
      </c>
      <c r="D8" s="141"/>
      <c r="E8" s="141"/>
      <c r="F8" s="146"/>
      <c r="G8" s="146"/>
      <c r="H8" s="1"/>
      <c r="I8" s="1"/>
      <c r="J8" s="1"/>
    </row>
    <row r="9" spans="1:10" x14ac:dyDescent="0.2">
      <c r="A9" s="142" t="s">
        <v>264</v>
      </c>
      <c r="C9" s="389">
        <f>'Cash Inc.'!B57</f>
        <v>0</v>
      </c>
      <c r="D9" s="389"/>
      <c r="E9" s="389"/>
      <c r="F9" s="146"/>
      <c r="G9" s="146"/>
    </row>
    <row r="10" spans="1:10" x14ac:dyDescent="0.2">
      <c r="A10" s="140" t="s">
        <v>265</v>
      </c>
      <c r="C10" s="7"/>
      <c r="D10" s="7"/>
      <c r="E10" s="390">
        <f>C8-C9</f>
        <v>0</v>
      </c>
      <c r="F10" s="145"/>
      <c r="G10" s="146"/>
    </row>
    <row r="11" spans="1:10" x14ac:dyDescent="0.2">
      <c r="A11" s="423" t="s">
        <v>266</v>
      </c>
      <c r="B11" s="61"/>
      <c r="C11" s="389"/>
      <c r="D11" s="389"/>
      <c r="E11" s="389"/>
      <c r="F11" s="424"/>
      <c r="G11" s="425">
        <f>E6-E10</f>
        <v>0</v>
      </c>
    </row>
    <row r="12" spans="1:10" x14ac:dyDescent="0.2">
      <c r="A12" s="142"/>
      <c r="C12" s="141"/>
      <c r="D12" s="141"/>
      <c r="E12" s="141"/>
      <c r="F12" s="146"/>
      <c r="G12" s="146"/>
    </row>
    <row r="13" spans="1:10" ht="15" x14ac:dyDescent="0.25">
      <c r="A13" s="433" t="s">
        <v>267</v>
      </c>
      <c r="B13" s="61"/>
      <c r="C13" s="389"/>
      <c r="D13" s="389"/>
      <c r="E13" s="389"/>
      <c r="F13" s="424"/>
      <c r="G13" s="424"/>
    </row>
    <row r="14" spans="1:10" x14ac:dyDescent="0.2">
      <c r="A14" s="142" t="s">
        <v>268</v>
      </c>
      <c r="C14" s="141">
        <f>Assets!C34</f>
        <v>0</v>
      </c>
      <c r="D14" s="141"/>
      <c r="E14" s="141"/>
      <c r="F14" s="146"/>
      <c r="G14" s="146"/>
    </row>
    <row r="15" spans="1:10" x14ac:dyDescent="0.2">
      <c r="A15" s="142" t="s">
        <v>269</v>
      </c>
      <c r="C15" s="141">
        <f>Assets!D69</f>
        <v>0</v>
      </c>
      <c r="D15" s="141"/>
      <c r="E15" s="141"/>
      <c r="F15" s="146"/>
      <c r="G15" s="146"/>
    </row>
    <row r="16" spans="1:10" x14ac:dyDescent="0.2">
      <c r="A16" s="142" t="s">
        <v>451</v>
      </c>
      <c r="C16" s="389">
        <f>Assets!E82</f>
        <v>0</v>
      </c>
      <c r="D16" s="389"/>
      <c r="E16" s="389"/>
      <c r="F16" s="146"/>
      <c r="G16" s="146"/>
    </row>
    <row r="17" spans="1:7" x14ac:dyDescent="0.2">
      <c r="A17" s="142" t="s">
        <v>280</v>
      </c>
      <c r="C17" s="7"/>
      <c r="D17" s="7"/>
      <c r="E17" s="141">
        <f>SUM(C14:C16)</f>
        <v>0</v>
      </c>
      <c r="F17" s="146"/>
      <c r="G17" s="146"/>
    </row>
    <row r="18" spans="1:7" x14ac:dyDescent="0.2">
      <c r="A18" s="142"/>
      <c r="C18" s="141"/>
      <c r="D18" s="141"/>
      <c r="E18" s="141"/>
      <c r="F18" s="146"/>
      <c r="G18" s="146"/>
    </row>
    <row r="19" spans="1:7" x14ac:dyDescent="0.2">
      <c r="A19" s="142" t="s">
        <v>270</v>
      </c>
      <c r="C19" s="141">
        <f>Assets!C62</f>
        <v>0</v>
      </c>
      <c r="D19" s="141"/>
      <c r="E19" s="141"/>
      <c r="F19" s="146"/>
      <c r="G19" s="146"/>
    </row>
    <row r="20" spans="1:7" x14ac:dyDescent="0.2">
      <c r="A20" s="142" t="s">
        <v>271</v>
      </c>
      <c r="C20" s="141">
        <f>Assets!C20</f>
        <v>0</v>
      </c>
      <c r="D20" s="141"/>
      <c r="E20" s="141"/>
      <c r="F20" s="146"/>
      <c r="G20" s="146"/>
    </row>
    <row r="21" spans="1:7" x14ac:dyDescent="0.2">
      <c r="A21" s="142" t="s">
        <v>272</v>
      </c>
      <c r="C21" s="141">
        <f>Assets!C53</f>
        <v>0</v>
      </c>
      <c r="D21" s="141"/>
      <c r="E21" s="141"/>
      <c r="F21" s="146"/>
      <c r="G21" s="146"/>
    </row>
    <row r="22" spans="1:7" x14ac:dyDescent="0.2">
      <c r="A22" s="142" t="s">
        <v>279</v>
      </c>
      <c r="C22" s="389">
        <f>Assets!E80</f>
        <v>0</v>
      </c>
      <c r="D22" s="389"/>
      <c r="E22" s="389"/>
      <c r="F22" s="146"/>
      <c r="G22" s="146"/>
    </row>
    <row r="23" spans="1:7" x14ac:dyDescent="0.2">
      <c r="A23" s="142" t="s">
        <v>281</v>
      </c>
      <c r="C23" s="141"/>
      <c r="D23" s="141"/>
      <c r="E23" s="141">
        <f>SUM(C19:C22)</f>
        <v>0</v>
      </c>
      <c r="F23" s="146"/>
      <c r="G23" s="146"/>
    </row>
    <row r="24" spans="1:7" x14ac:dyDescent="0.2">
      <c r="A24" s="143" t="s">
        <v>282</v>
      </c>
      <c r="B24" s="61"/>
      <c r="C24" s="389"/>
      <c r="D24" s="389"/>
      <c r="E24" s="389"/>
      <c r="F24" s="424"/>
      <c r="G24" s="425">
        <f>E17-E23</f>
        <v>0</v>
      </c>
    </row>
    <row r="25" spans="1:7" x14ac:dyDescent="0.2">
      <c r="A25" s="142"/>
      <c r="C25" s="141"/>
      <c r="D25" s="141"/>
      <c r="E25" s="141"/>
      <c r="F25" s="146"/>
      <c r="G25" s="146"/>
    </row>
    <row r="26" spans="1:7" ht="15" x14ac:dyDescent="0.25">
      <c r="A26" s="432" t="s">
        <v>283</v>
      </c>
      <c r="B26" s="61"/>
      <c r="C26" s="389"/>
      <c r="D26" s="389"/>
      <c r="E26" s="389"/>
      <c r="F26" s="424"/>
      <c r="G26" s="424"/>
    </row>
    <row r="27" spans="1:7" x14ac:dyDescent="0.2">
      <c r="A27" s="142" t="s">
        <v>284</v>
      </c>
      <c r="C27" s="390">
        <f>IF(Liabilities!$D$27&gt;=0,Liabilities!$D$27,0)+IF(Liabilities!$D$35&gt;=0,Liabilities!$D$35,0)</f>
        <v>0</v>
      </c>
      <c r="D27" s="390"/>
      <c r="E27" s="141"/>
      <c r="F27" s="146"/>
      <c r="G27" s="146"/>
    </row>
    <row r="28" spans="1:7" x14ac:dyDescent="0.2">
      <c r="A28" s="142" t="s">
        <v>285</v>
      </c>
      <c r="C28" s="390">
        <f>IF(Liabilities!$D$11&gt;=0,Liabilities!$D$11,0)+IF(Liabilities!$D$12&gt;=0,Liabilities!$D$12,0)+IF(Liabilities!$D$13&gt;=0,Liabilities!$D$13,0)</f>
        <v>0</v>
      </c>
      <c r="D28" s="390"/>
      <c r="E28" s="141"/>
      <c r="F28" s="146"/>
      <c r="G28" s="146"/>
    </row>
    <row r="29" spans="1:7" x14ac:dyDescent="0.2">
      <c r="A29" s="142" t="s">
        <v>286</v>
      </c>
      <c r="C29" s="390">
        <f>IF(Liabilities!$D$7&gt;=0,Liabilities!$D$7,0)+IF(Liabilities!$D$8&gt;=0,Liabilities!$D$8,0)+IF(Liabilities!$D$9&gt;=0,Liabilities!$D$9,0)+IF(Liabilities!$D$10&gt;=0,Liabilities!$D$10,0)</f>
        <v>0</v>
      </c>
      <c r="D29" s="390"/>
      <c r="E29" s="141"/>
      <c r="F29" s="146"/>
      <c r="G29" s="146"/>
    </row>
    <row r="30" spans="1:7" x14ac:dyDescent="0.2">
      <c r="A30" s="142" t="s">
        <v>287</v>
      </c>
      <c r="C30" s="141">
        <f>Liabilities!C42</f>
        <v>0</v>
      </c>
      <c r="D30" s="141"/>
      <c r="E30" s="141"/>
      <c r="F30" s="146"/>
      <c r="G30" s="146"/>
    </row>
    <row r="31" spans="1:7" x14ac:dyDescent="0.2">
      <c r="A31" s="142" t="s">
        <v>288</v>
      </c>
      <c r="C31" s="389">
        <f>Liabilities!D43</f>
        <v>0</v>
      </c>
      <c r="D31" s="389"/>
      <c r="E31" s="389"/>
      <c r="F31" s="146"/>
      <c r="G31" s="146"/>
    </row>
    <row r="32" spans="1:7" x14ac:dyDescent="0.2">
      <c r="A32" s="142" t="s">
        <v>289</v>
      </c>
      <c r="C32" s="141"/>
      <c r="D32" s="141"/>
      <c r="E32" s="141">
        <f>SUM(C27:C31)</f>
        <v>0</v>
      </c>
      <c r="F32" s="146"/>
      <c r="G32" s="146"/>
    </row>
    <row r="33" spans="1:7" x14ac:dyDescent="0.2">
      <c r="A33" s="142"/>
      <c r="C33" s="141"/>
      <c r="D33" s="141"/>
      <c r="E33" s="141"/>
      <c r="F33" s="146"/>
      <c r="G33" s="146"/>
    </row>
    <row r="34" spans="1:7" x14ac:dyDescent="0.2">
      <c r="A34" s="142" t="s">
        <v>290</v>
      </c>
      <c r="C34" s="390">
        <f>IF(Liabilities!$D$27&lt;0,Liabilities!$D$27*-1,0)+IF(Liabilities!$D$35&lt;0,Liabilities!$D$35*-1,0)</f>
        <v>0</v>
      </c>
      <c r="D34" s="141"/>
      <c r="E34" s="141"/>
      <c r="F34" s="146"/>
      <c r="G34" s="146"/>
    </row>
    <row r="35" spans="1:7" x14ac:dyDescent="0.2">
      <c r="A35" s="142" t="s">
        <v>291</v>
      </c>
      <c r="C35" s="390">
        <f>IF(Liabilities!$D$11&lt;0,Liabilities!$D$11*-1,0)+IF(Liabilities!$D$12&lt;0,Liabilities!$D$12*-1,0)+IF(Liabilities!$D$13&lt;0,Liabilities!$D$13*-1,0)</f>
        <v>0</v>
      </c>
      <c r="D35" s="141"/>
      <c r="E35" s="141"/>
      <c r="F35" s="146"/>
      <c r="G35" s="146"/>
    </row>
    <row r="36" spans="1:7" x14ac:dyDescent="0.2">
      <c r="A36" s="142" t="s">
        <v>292</v>
      </c>
      <c r="C36" s="389">
        <f>IF(Liabilities!$D$7&lt;0,Liabilities!$D$7*-1,0)+IF(Liabilities!$D$8&lt;0,Liabilities!$D$8*-1,0)+IF(Liabilities!$D$9&lt;0,Liabilities!$D$9*-1,0)</f>
        <v>0</v>
      </c>
      <c r="D36" s="389"/>
      <c r="E36" s="389"/>
      <c r="F36" s="146"/>
      <c r="G36" s="146"/>
    </row>
    <row r="37" spans="1:7" x14ac:dyDescent="0.2">
      <c r="A37" s="142" t="s">
        <v>293</v>
      </c>
      <c r="C37" s="141"/>
      <c r="D37" s="141"/>
      <c r="E37" s="390">
        <f>SUM(C34:C36)</f>
        <v>0</v>
      </c>
      <c r="F37" s="146"/>
      <c r="G37" s="146"/>
    </row>
    <row r="38" spans="1:7" x14ac:dyDescent="0.2">
      <c r="A38" s="143" t="s">
        <v>294</v>
      </c>
      <c r="B38" s="61"/>
      <c r="C38" s="66"/>
      <c r="D38" s="66"/>
      <c r="E38" s="392"/>
      <c r="F38" s="426"/>
      <c r="G38" s="62">
        <f>E32-E37</f>
        <v>0</v>
      </c>
    </row>
    <row r="39" spans="1:7" x14ac:dyDescent="0.2">
      <c r="A39" s="142"/>
      <c r="C39" s="7"/>
      <c r="D39" s="7"/>
      <c r="E39" s="391"/>
      <c r="F39" s="58"/>
      <c r="G39" s="58"/>
    </row>
    <row r="40" spans="1:7" ht="15" x14ac:dyDescent="0.25">
      <c r="A40" s="432" t="s">
        <v>295</v>
      </c>
      <c r="B40" s="61"/>
      <c r="C40" s="66"/>
      <c r="D40" s="66"/>
      <c r="E40" s="392"/>
      <c r="F40" s="426"/>
      <c r="G40" s="426"/>
    </row>
    <row r="41" spans="1:7" x14ac:dyDescent="0.2">
      <c r="A41" s="142" t="s">
        <v>296</v>
      </c>
      <c r="C41" s="7"/>
      <c r="D41" s="7"/>
      <c r="E41" s="391">
        <f>Assets!C86</f>
        <v>0</v>
      </c>
      <c r="F41" s="58"/>
      <c r="G41" s="58"/>
    </row>
    <row r="42" spans="1:7" x14ac:dyDescent="0.2">
      <c r="A42" s="142" t="s">
        <v>297</v>
      </c>
      <c r="C42" s="7"/>
      <c r="D42" s="7"/>
      <c r="E42" s="431">
        <f>Assets!D86</f>
        <v>0</v>
      </c>
      <c r="F42" s="325"/>
      <c r="G42" s="325"/>
    </row>
    <row r="43" spans="1:7" x14ac:dyDescent="0.2">
      <c r="A43" s="143" t="s">
        <v>298</v>
      </c>
      <c r="B43" s="61"/>
      <c r="C43" s="426"/>
      <c r="D43" s="426"/>
      <c r="E43" s="427"/>
      <c r="F43" s="426"/>
      <c r="G43" s="62">
        <f>E41-E42</f>
        <v>0</v>
      </c>
    </row>
    <row r="44" spans="1:7" x14ac:dyDescent="0.2">
      <c r="A44" s="142"/>
      <c r="C44" s="58"/>
      <c r="D44" s="58"/>
      <c r="E44" s="58"/>
      <c r="F44" s="58"/>
      <c r="G44" s="58"/>
    </row>
    <row r="45" spans="1:7" ht="15" x14ac:dyDescent="0.25">
      <c r="A45" s="432" t="s">
        <v>299</v>
      </c>
      <c r="B45" s="61"/>
      <c r="C45" s="66"/>
      <c r="D45" s="66"/>
      <c r="E45" s="61"/>
      <c r="F45" s="61"/>
      <c r="G45" s="25">
        <f>SUM(G11,G24,G38,G43)</f>
        <v>0</v>
      </c>
    </row>
    <row r="46" spans="1:7" x14ac:dyDescent="0.2">
      <c r="A46" s="135"/>
      <c r="C46" s="7"/>
      <c r="D46" s="7"/>
      <c r="G46" s="3"/>
    </row>
    <row r="47" spans="1:7" x14ac:dyDescent="0.2">
      <c r="A47" s="135"/>
      <c r="C47" s="7"/>
      <c r="D47" s="7"/>
      <c r="G47" s="3"/>
    </row>
    <row r="48" spans="1:7" x14ac:dyDescent="0.2">
      <c r="A48" s="135"/>
      <c r="C48" s="7"/>
      <c r="D48" s="7"/>
      <c r="G48" s="3"/>
    </row>
    <row r="49" spans="1:10" x14ac:dyDescent="0.2">
      <c r="A49" s="135"/>
      <c r="B49" s="103" t="s">
        <v>329</v>
      </c>
      <c r="C49" s="93">
        <f>SUM(C4,C9,E17,E32,E41)</f>
        <v>0</v>
      </c>
      <c r="D49" s="93"/>
      <c r="E49" s="103" t="s">
        <v>321</v>
      </c>
      <c r="F49" s="103"/>
      <c r="G49" s="477" t="e">
        <f>G45/SUM(C4,C9,E17,E32,E41)</f>
        <v>#DIV/0!</v>
      </c>
      <c r="J49" s="649">
        <f>C49*0.01</f>
        <v>0</v>
      </c>
    </row>
    <row r="50" spans="1:10" x14ac:dyDescent="0.2">
      <c r="A50" s="142"/>
      <c r="B50" s="436" t="s">
        <v>330</v>
      </c>
      <c r="C50" s="106">
        <f>SUM(C5,C8,E23,E37,E42)</f>
        <v>0</v>
      </c>
      <c r="D50" s="93"/>
      <c r="E50" s="88"/>
      <c r="F50" s="88"/>
      <c r="G50" s="88"/>
      <c r="J50" s="588">
        <f>J49-C51</f>
        <v>0</v>
      </c>
    </row>
    <row r="51" spans="1:10" x14ac:dyDescent="0.2">
      <c r="A51" s="142"/>
      <c r="B51" s="103" t="s">
        <v>331</v>
      </c>
      <c r="C51" s="93">
        <f>C49-C50</f>
        <v>0</v>
      </c>
      <c r="D51" s="93"/>
      <c r="E51" s="88"/>
      <c r="F51" s="88"/>
      <c r="G51" s="88"/>
      <c r="H51" t="s">
        <v>219</v>
      </c>
    </row>
    <row r="52" spans="1:10" x14ac:dyDescent="0.2">
      <c r="A52" s="142"/>
    </row>
    <row r="53" spans="1:10" x14ac:dyDescent="0.2">
      <c r="A53" s="142"/>
      <c r="B53" s="18"/>
      <c r="D53" s="30"/>
      <c r="E53" s="18"/>
      <c r="F53" s="18"/>
      <c r="G53" s="18"/>
    </row>
    <row r="54" spans="1:10" x14ac:dyDescent="0.2">
      <c r="A54" s="142"/>
      <c r="D54" s="7"/>
    </row>
    <row r="55" spans="1:10" x14ac:dyDescent="0.2">
      <c r="A55" s="142"/>
      <c r="C55" s="7"/>
      <c r="D55" s="7"/>
    </row>
    <row r="56" spans="1:10" x14ac:dyDescent="0.2">
      <c r="A56" s="142"/>
      <c r="C56" s="7"/>
      <c r="D56" s="7"/>
    </row>
    <row r="57" spans="1:10" x14ac:dyDescent="0.2">
      <c r="A57" s="142"/>
      <c r="C57" s="141"/>
      <c r="D57" s="141"/>
    </row>
    <row r="58" spans="1:10" x14ac:dyDescent="0.2">
      <c r="A58" s="142"/>
      <c r="C58" s="7"/>
      <c r="D58" s="7"/>
    </row>
    <row r="59" spans="1:10" x14ac:dyDescent="0.2">
      <c r="A59" s="142"/>
    </row>
    <row r="60" spans="1:10" x14ac:dyDescent="0.2">
      <c r="A60" s="142"/>
      <c r="C60" s="10"/>
      <c r="D60" s="10"/>
    </row>
    <row r="61" spans="1:10" x14ac:dyDescent="0.2">
      <c r="A61" s="142"/>
    </row>
    <row r="62" spans="1:10" x14ac:dyDescent="0.2">
      <c r="A62" s="142"/>
      <c r="B62" s="133"/>
      <c r="C62" s="7"/>
      <c r="D62" s="7"/>
    </row>
    <row r="63" spans="1:10" x14ac:dyDescent="0.2">
      <c r="A63" s="142"/>
    </row>
    <row r="64" spans="1:10" x14ac:dyDescent="0.2">
      <c r="A64" s="142"/>
    </row>
  </sheetData>
  <sheetProtection password="DA6F" sheet="1" objects="1" scenarios="1"/>
  <mergeCells count="2">
    <mergeCell ref="A1:C1"/>
    <mergeCell ref="D2:G2"/>
  </mergeCells>
  <phoneticPr fontId="0" type="noConversion"/>
  <printOptions horizontalCentered="1" verticalCentered="1"/>
  <pageMargins left="0.5" right="0.5" top="1" bottom="0.5" header="0.25" footer="0.5"/>
  <pageSetup orientation="portrait" blackAndWhite="1" horizontalDpi="4294967294" r:id="rId1"/>
  <headerFooter alignWithMargins="0">
    <oddFooter xml:space="preserve">&amp;L&amp;D  &amp;T&amp;Cdeveloped by A.DeMarree,CCE 2004&amp;R&amp;F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activeCell="D3" sqref="D3"/>
    </sheetView>
  </sheetViews>
  <sheetFormatPr defaultRowHeight="12.75" x14ac:dyDescent="0.2"/>
  <cols>
    <col min="1" max="1" width="3.42578125" customWidth="1"/>
    <col min="2" max="2" width="38.42578125" customWidth="1"/>
    <col min="3" max="3" width="12.7109375" customWidth="1"/>
    <col min="4" max="4" width="12.5703125" customWidth="1"/>
    <col min="5" max="5" width="13.42578125" customWidth="1"/>
    <col min="6" max="6" width="13" customWidth="1"/>
    <col min="7" max="7" width="12.28515625" customWidth="1"/>
    <col min="8" max="8" width="10.42578125" customWidth="1"/>
  </cols>
  <sheetData>
    <row r="1" spans="1:8" ht="15.75" x14ac:dyDescent="0.25">
      <c r="A1" s="294"/>
      <c r="B1" s="296" t="s">
        <v>497</v>
      </c>
      <c r="C1" s="291" t="str">
        <f>'Farm Info'!C5</f>
        <v>2014</v>
      </c>
      <c r="D1" s="291">
        <f>C1-1</f>
        <v>2013</v>
      </c>
      <c r="E1" s="291">
        <f>C1-2</f>
        <v>2012</v>
      </c>
      <c r="F1" s="291">
        <f>C1-3</f>
        <v>2011</v>
      </c>
      <c r="G1" s="291">
        <v>2009</v>
      </c>
      <c r="H1" s="291">
        <v>2008</v>
      </c>
    </row>
    <row r="2" spans="1:8" x14ac:dyDescent="0.2">
      <c r="B2" s="63" t="s">
        <v>490</v>
      </c>
      <c r="C2" s="61"/>
      <c r="D2" s="764" t="s">
        <v>942</v>
      </c>
      <c r="E2" s="22"/>
      <c r="F2" s="22"/>
      <c r="G2" s="47"/>
      <c r="H2" s="61"/>
    </row>
    <row r="3" spans="1:8" x14ac:dyDescent="0.2">
      <c r="B3" t="s">
        <v>491</v>
      </c>
      <c r="C3" s="599">
        <f>'Prdtn &amp; Acres'!I43</f>
        <v>0</v>
      </c>
      <c r="D3" s="737"/>
      <c r="E3" s="737"/>
      <c r="F3" s="737"/>
      <c r="G3" s="737"/>
      <c r="H3" s="602"/>
    </row>
    <row r="4" spans="1:8" x14ac:dyDescent="0.2">
      <c r="B4" s="61" t="s">
        <v>492</v>
      </c>
      <c r="C4" s="600">
        <f>'Prdtn &amp; Acres'!I45</f>
        <v>0</v>
      </c>
      <c r="D4" s="738"/>
      <c r="E4" s="738"/>
      <c r="F4" s="738"/>
      <c r="G4" s="738"/>
      <c r="H4" s="603"/>
    </row>
    <row r="5" spans="1:8" x14ac:dyDescent="0.2">
      <c r="B5" t="s">
        <v>494</v>
      </c>
      <c r="C5" s="388">
        <f>'Prdtn &amp; Acres'!C55</f>
        <v>0</v>
      </c>
      <c r="D5" s="601"/>
      <c r="E5" s="601"/>
      <c r="F5" s="601"/>
      <c r="G5" s="601"/>
      <c r="H5" s="601"/>
    </row>
    <row r="6" spans="1:8" x14ac:dyDescent="0.2">
      <c r="B6" t="s">
        <v>540</v>
      </c>
      <c r="C6" s="630" t="e">
        <f>'Prdtn &amp; Acres'!C55/'Prdtn &amp; Acres'!F5</f>
        <v>#DIV/0!</v>
      </c>
      <c r="D6" s="739"/>
      <c r="E6" s="739"/>
      <c r="F6" s="739"/>
      <c r="G6" s="739"/>
      <c r="H6" s="604"/>
    </row>
    <row r="7" spans="1:8" x14ac:dyDescent="0.2">
      <c r="B7" t="s">
        <v>495</v>
      </c>
      <c r="C7" s="631" t="e">
        <f>'Prdtn &amp; Acres'!F52/'Prdtn &amp; Acres'!F55</f>
        <v>#DIV/0!</v>
      </c>
      <c r="D7" s="740"/>
      <c r="E7" s="740"/>
      <c r="F7" s="740"/>
      <c r="G7" s="740"/>
      <c r="H7" s="605"/>
    </row>
    <row r="8" spans="1:8" x14ac:dyDescent="0.2">
      <c r="B8" s="61" t="s">
        <v>496</v>
      </c>
      <c r="C8" s="632" t="e">
        <f>'Cash Inc.'!G7/'Cash Inc.'!G55</f>
        <v>#DIV/0!</v>
      </c>
      <c r="D8" s="741"/>
      <c r="E8" s="741"/>
      <c r="F8" s="741"/>
      <c r="G8" s="741"/>
      <c r="H8" s="606"/>
    </row>
    <row r="9" spans="1:8" x14ac:dyDescent="0.2">
      <c r="B9" t="s">
        <v>542</v>
      </c>
      <c r="C9" s="599" t="e">
        <f>(SUM('Prdtn &amp; Acres'!L56:L58,'Prdtn &amp; Acres'!L61:L65)/2000)/SUM('Prdtn &amp; Acres'!F6:F8,'Prdtn &amp; Acres'!F11:F15)</f>
        <v>#DIV/0!</v>
      </c>
      <c r="D9" s="742"/>
      <c r="E9" s="742"/>
      <c r="F9" s="742"/>
      <c r="G9" s="742"/>
      <c r="H9" s="607"/>
    </row>
    <row r="10" spans="1:8" x14ac:dyDescent="0.2">
      <c r="B10" t="s">
        <v>543</v>
      </c>
      <c r="C10" s="631" t="e">
        <f>SUM('Cash Inc.'!G8:G10,'Cash Inc.'!G13:G17)/'Cash Inc.'!G55</f>
        <v>#DIV/0!</v>
      </c>
      <c r="D10" s="740"/>
      <c r="E10" s="740"/>
      <c r="F10" s="740"/>
      <c r="G10" s="740"/>
      <c r="H10" s="605"/>
    </row>
    <row r="11" spans="1:8" x14ac:dyDescent="0.2">
      <c r="B11" t="s">
        <v>544</v>
      </c>
      <c r="C11" s="633" t="e">
        <f>(SUM('Prdtn &amp; Acres'!L67:L80)/2000)/SUM('Prdtn &amp; Acres'!F17:F30)</f>
        <v>#DIV/0!</v>
      </c>
      <c r="D11" s="742"/>
      <c r="E11" s="742"/>
      <c r="F11" s="742"/>
      <c r="G11" s="742"/>
      <c r="H11" s="607"/>
    </row>
    <row r="12" spans="1:8" x14ac:dyDescent="0.2">
      <c r="B12" t="s">
        <v>541</v>
      </c>
      <c r="C12" s="631" t="e">
        <f>'Prdtn &amp; Acres'!I44/'Prdtn &amp; Acres'!I45</f>
        <v>#DIV/0!</v>
      </c>
      <c r="D12" s="740"/>
      <c r="E12" s="740"/>
      <c r="F12" s="740"/>
      <c r="G12" s="740"/>
      <c r="H12" s="605"/>
    </row>
    <row r="13" spans="1:8" x14ac:dyDescent="0.2">
      <c r="B13" s="63" t="s">
        <v>712</v>
      </c>
      <c r="C13" s="47"/>
      <c r="D13" s="743"/>
      <c r="E13" s="743"/>
      <c r="F13" s="743"/>
      <c r="G13" s="743"/>
      <c r="H13" s="608"/>
    </row>
    <row r="14" spans="1:8" x14ac:dyDescent="0.2">
      <c r="B14" s="54" t="s">
        <v>452</v>
      </c>
      <c r="C14" s="2">
        <f>'Cash Inc.'!G55</f>
        <v>0</v>
      </c>
      <c r="D14" s="744"/>
      <c r="E14" s="744"/>
      <c r="F14" s="744"/>
      <c r="G14" s="744"/>
      <c r="H14" s="609"/>
    </row>
    <row r="15" spans="1:8" x14ac:dyDescent="0.2">
      <c r="B15" s="124" t="s">
        <v>453</v>
      </c>
      <c r="C15" s="67">
        <f>Expenses!F42</f>
        <v>0</v>
      </c>
      <c r="D15" s="745"/>
      <c r="E15" s="745"/>
      <c r="F15" s="745"/>
      <c r="G15" s="745"/>
      <c r="H15" s="443"/>
    </row>
    <row r="16" spans="1:8" x14ac:dyDescent="0.2">
      <c r="B16" s="9" t="s">
        <v>454</v>
      </c>
      <c r="C16" s="3">
        <f>C14-C15</f>
        <v>0</v>
      </c>
      <c r="D16" s="462"/>
      <c r="E16" s="462"/>
      <c r="F16" s="462"/>
      <c r="G16" s="462"/>
      <c r="H16" s="462"/>
    </row>
    <row r="17" spans="2:8" x14ac:dyDescent="0.2">
      <c r="B17" s="54" t="s">
        <v>458</v>
      </c>
      <c r="C17" s="2">
        <f>'Mo. Labor'!L40*2000</f>
        <v>0</v>
      </c>
      <c r="D17" s="744"/>
      <c r="E17" s="744"/>
      <c r="F17" s="744"/>
      <c r="G17" s="744"/>
      <c r="H17" s="609"/>
    </row>
    <row r="18" spans="2:8" x14ac:dyDescent="0.2">
      <c r="B18" s="54" t="s">
        <v>465</v>
      </c>
      <c r="C18" s="2">
        <f>C16-C17</f>
        <v>0</v>
      </c>
      <c r="D18" s="744"/>
      <c r="E18" s="744"/>
      <c r="F18" s="744"/>
      <c r="G18" s="744"/>
      <c r="H18" s="609"/>
    </row>
    <row r="19" spans="2:8" x14ac:dyDescent="0.2">
      <c r="B19" s="54" t="s">
        <v>459</v>
      </c>
      <c r="C19" s="2">
        <f>Liabilities!L40*0.05</f>
        <v>0</v>
      </c>
      <c r="D19" s="744"/>
      <c r="E19" s="744"/>
      <c r="F19" s="744"/>
      <c r="G19" s="744"/>
      <c r="H19" s="609"/>
    </row>
    <row r="20" spans="2:8" x14ac:dyDescent="0.2">
      <c r="B20" s="124" t="s">
        <v>713</v>
      </c>
      <c r="C20" s="67">
        <f>C16-C17-C19</f>
        <v>0</v>
      </c>
      <c r="D20" s="745"/>
      <c r="E20" s="745"/>
      <c r="F20" s="745"/>
      <c r="G20" s="745"/>
      <c r="H20" s="443"/>
    </row>
    <row r="21" spans="2:8" x14ac:dyDescent="0.2">
      <c r="B21" s="54" t="s">
        <v>460</v>
      </c>
      <c r="C21" s="203">
        <f>'Mo. Labor'!E39/12</f>
        <v>1</v>
      </c>
      <c r="D21" s="746"/>
      <c r="E21" s="746"/>
      <c r="F21" s="746"/>
      <c r="G21" s="746"/>
      <c r="H21" s="610"/>
    </row>
    <row r="22" spans="2:8" x14ac:dyDescent="0.2">
      <c r="B22" s="9" t="s">
        <v>455</v>
      </c>
      <c r="C22" s="3">
        <f>C20/C21</f>
        <v>0</v>
      </c>
      <c r="D22" s="462"/>
      <c r="E22" s="462"/>
      <c r="F22" s="462"/>
      <c r="G22" s="462"/>
      <c r="H22" s="462"/>
    </row>
    <row r="23" spans="2:8" x14ac:dyDescent="0.2">
      <c r="D23" s="747"/>
      <c r="E23" s="747"/>
      <c r="F23" s="747"/>
      <c r="G23" s="747"/>
      <c r="H23" s="610"/>
    </row>
    <row r="24" spans="2:8" x14ac:dyDescent="0.2">
      <c r="B24" s="63" t="s">
        <v>473</v>
      </c>
      <c r="C24" s="61"/>
      <c r="D24" s="748"/>
      <c r="E24" s="748"/>
      <c r="F24" s="748"/>
      <c r="G24" s="748"/>
      <c r="H24" s="611"/>
    </row>
    <row r="25" spans="2:8" x14ac:dyDescent="0.2">
      <c r="B25" s="54" t="s">
        <v>185</v>
      </c>
      <c r="C25" s="2">
        <f>Assets!D116</f>
        <v>0</v>
      </c>
      <c r="D25" s="744"/>
      <c r="E25" s="744"/>
      <c r="F25" s="744"/>
      <c r="G25" s="744"/>
      <c r="H25" s="609"/>
    </row>
    <row r="26" spans="2:8" x14ac:dyDescent="0.2">
      <c r="B26" s="124" t="s">
        <v>475</v>
      </c>
      <c r="C26" s="67">
        <f>Liabilities!C37</f>
        <v>0</v>
      </c>
      <c r="D26" s="745"/>
      <c r="E26" s="745"/>
      <c r="F26" s="745"/>
      <c r="G26" s="745"/>
      <c r="H26" s="443"/>
    </row>
    <row r="27" spans="2:8" x14ac:dyDescent="0.2">
      <c r="B27" s="9" t="s">
        <v>474</v>
      </c>
      <c r="C27" s="3">
        <f>C25-C26</f>
        <v>0</v>
      </c>
      <c r="D27" s="462"/>
      <c r="E27" s="462"/>
      <c r="F27" s="462"/>
      <c r="G27" s="462"/>
      <c r="H27" s="462"/>
    </row>
    <row r="28" spans="2:8" x14ac:dyDescent="0.2">
      <c r="B28" s="54" t="s">
        <v>477</v>
      </c>
      <c r="C28" s="133" t="e">
        <f>C27/C25</f>
        <v>#DIV/0!</v>
      </c>
      <c r="D28" s="749"/>
      <c r="E28" s="749"/>
      <c r="F28" s="749"/>
      <c r="G28" s="749"/>
      <c r="H28" s="612"/>
    </row>
    <row r="29" spans="2:8" x14ac:dyDescent="0.2">
      <c r="B29" s="54" t="s">
        <v>476</v>
      </c>
      <c r="C29" s="203" t="e">
        <f>C26/C25</f>
        <v>#DIV/0!</v>
      </c>
      <c r="D29" s="746"/>
      <c r="E29" s="746"/>
      <c r="F29" s="746"/>
      <c r="G29" s="746"/>
      <c r="H29" s="610"/>
    </row>
    <row r="30" spans="2:8" x14ac:dyDescent="0.2">
      <c r="B30" s="63" t="s">
        <v>478</v>
      </c>
      <c r="C30" s="25" t="e">
        <f>Liabilities!C37/'Prdtn &amp; Acres'!F41</f>
        <v>#DIV/0!</v>
      </c>
      <c r="D30" s="463"/>
      <c r="E30" s="463"/>
      <c r="F30" s="463"/>
      <c r="G30" s="463"/>
      <c r="H30" s="463"/>
    </row>
    <row r="31" spans="2:8" x14ac:dyDescent="0.2">
      <c r="D31" s="747"/>
      <c r="E31" s="747"/>
      <c r="F31" s="747"/>
      <c r="G31" s="747"/>
      <c r="H31" s="610"/>
    </row>
    <row r="32" spans="2:8" x14ac:dyDescent="0.2">
      <c r="B32" s="54" t="s">
        <v>464</v>
      </c>
      <c r="C32" s="2">
        <f>Liabilities!L40</f>
        <v>0</v>
      </c>
      <c r="D32" s="744"/>
      <c r="E32" s="744"/>
      <c r="F32" s="744"/>
      <c r="G32" s="744"/>
      <c r="H32" s="609"/>
    </row>
    <row r="33" spans="2:8" x14ac:dyDescent="0.2">
      <c r="B33" s="54" t="s">
        <v>463</v>
      </c>
      <c r="C33" s="2">
        <f>Assets!D118</f>
        <v>0</v>
      </c>
      <c r="D33" s="744"/>
      <c r="E33" s="744"/>
      <c r="F33" s="744"/>
      <c r="G33" s="744"/>
      <c r="H33" s="609"/>
    </row>
    <row r="34" spans="2:8" x14ac:dyDescent="0.2">
      <c r="B34" s="54" t="s">
        <v>500</v>
      </c>
      <c r="C34" s="206" t="e">
        <f>Assets!D118/'Cash Inc.'!G55</f>
        <v>#DIV/0!</v>
      </c>
      <c r="D34" s="750"/>
      <c r="E34" s="750"/>
      <c r="F34" s="750"/>
      <c r="G34" s="750"/>
      <c r="H34" s="610"/>
    </row>
    <row r="35" spans="2:8" x14ac:dyDescent="0.2">
      <c r="B35" s="54" t="s">
        <v>469</v>
      </c>
      <c r="C35" s="2">
        <f>'Mo. Labor'!D39</f>
        <v>0</v>
      </c>
      <c r="D35" s="744"/>
      <c r="E35" s="744"/>
      <c r="F35" s="744"/>
      <c r="G35" s="744"/>
      <c r="H35" s="609"/>
    </row>
    <row r="36" spans="2:8" x14ac:dyDescent="0.2">
      <c r="B36" s="54" t="s">
        <v>470</v>
      </c>
      <c r="C36" s="2">
        <f>C18-C35</f>
        <v>0</v>
      </c>
      <c r="D36" s="744"/>
      <c r="E36" s="744"/>
      <c r="F36" s="744"/>
      <c r="G36" s="744"/>
      <c r="H36" s="609"/>
    </row>
    <row r="37" spans="2:8" x14ac:dyDescent="0.2">
      <c r="B37" s="124" t="s">
        <v>471</v>
      </c>
      <c r="C37" s="67">
        <f>Expenses!C35</f>
        <v>0</v>
      </c>
      <c r="D37" s="745"/>
      <c r="E37" s="745"/>
      <c r="F37" s="745"/>
      <c r="G37" s="745"/>
      <c r="H37" s="443"/>
    </row>
    <row r="38" spans="2:8" x14ac:dyDescent="0.2">
      <c r="B38" s="54" t="s">
        <v>472</v>
      </c>
      <c r="C38" s="3">
        <f>C36+C37</f>
        <v>0</v>
      </c>
      <c r="D38" s="462"/>
      <c r="E38" s="462"/>
      <c r="F38" s="462"/>
      <c r="G38" s="462"/>
      <c r="H38" s="462"/>
    </row>
    <row r="39" spans="2:8" x14ac:dyDescent="0.2">
      <c r="B39" s="54" t="s">
        <v>461</v>
      </c>
      <c r="C39" s="133" t="e">
        <f>C36/C32</f>
        <v>#DIV/0!</v>
      </c>
      <c r="D39" s="749"/>
      <c r="E39" s="749"/>
      <c r="F39" s="749"/>
      <c r="G39" s="749"/>
      <c r="H39" s="612"/>
    </row>
    <row r="40" spans="2:8" x14ac:dyDescent="0.2">
      <c r="B40" s="54" t="s">
        <v>462</v>
      </c>
      <c r="C40" s="133" t="e">
        <f>C38/C33</f>
        <v>#DIV/0!</v>
      </c>
      <c r="D40" s="749"/>
      <c r="E40" s="749"/>
      <c r="F40" s="749"/>
      <c r="G40" s="749"/>
      <c r="H40" s="612"/>
    </row>
    <row r="41" spans="2:8" x14ac:dyDescent="0.2">
      <c r="D41" s="747"/>
      <c r="E41" s="747"/>
      <c r="F41" s="747"/>
      <c r="G41" s="747"/>
      <c r="H41" s="610"/>
    </row>
    <row r="42" spans="2:8" x14ac:dyDescent="0.2">
      <c r="B42" s="54" t="s">
        <v>480</v>
      </c>
      <c r="C42" s="2">
        <f>'Cash Inc.'!B55</f>
        <v>0</v>
      </c>
      <c r="D42" s="744"/>
      <c r="E42" s="744"/>
      <c r="F42" s="744"/>
      <c r="G42" s="744"/>
      <c r="H42" s="609"/>
    </row>
    <row r="43" spans="2:8" x14ac:dyDescent="0.2">
      <c r="B43" s="54" t="s">
        <v>482</v>
      </c>
      <c r="C43" s="2">
        <f>Expenses!C38</f>
        <v>0</v>
      </c>
      <c r="D43" s="744"/>
      <c r="E43" s="744"/>
      <c r="F43" s="744"/>
      <c r="G43" s="744"/>
      <c r="H43" s="609"/>
    </row>
    <row r="44" spans="2:8" x14ac:dyDescent="0.2">
      <c r="B44" s="54" t="s">
        <v>471</v>
      </c>
      <c r="C44" s="2">
        <f>Expenses!C35</f>
        <v>0</v>
      </c>
      <c r="D44" s="744"/>
      <c r="E44" s="744"/>
      <c r="F44" s="744"/>
      <c r="G44" s="744"/>
      <c r="H44" s="609"/>
    </row>
    <row r="45" spans="2:8" x14ac:dyDescent="0.2">
      <c r="B45" s="124" t="s">
        <v>483</v>
      </c>
      <c r="C45" s="67">
        <f>'Mo. Labor'!C39-'Cash Inc.'!B57-Liabilities!C43</f>
        <v>0</v>
      </c>
      <c r="D45" s="745"/>
      <c r="E45" s="745"/>
      <c r="F45" s="745"/>
      <c r="G45" s="745"/>
      <c r="H45" s="443"/>
    </row>
    <row r="46" spans="2:8" x14ac:dyDescent="0.2">
      <c r="B46" s="54" t="s">
        <v>484</v>
      </c>
      <c r="C46" s="3">
        <f>(((C42-C43)+C44)-C45)</f>
        <v>0</v>
      </c>
      <c r="D46" s="462"/>
      <c r="E46" s="462"/>
      <c r="F46" s="462"/>
      <c r="G46" s="462"/>
      <c r="H46" s="462"/>
    </row>
    <row r="47" spans="2:8" x14ac:dyDescent="0.2">
      <c r="B47" s="54" t="s">
        <v>481</v>
      </c>
      <c r="C47" s="2">
        <f>Liabilities!L37</f>
        <v>0</v>
      </c>
      <c r="D47" s="744"/>
      <c r="E47" s="744"/>
      <c r="F47" s="744"/>
      <c r="G47" s="744"/>
      <c r="H47" s="609"/>
    </row>
    <row r="48" spans="2:8" x14ac:dyDescent="0.2">
      <c r="B48" s="54" t="s">
        <v>479</v>
      </c>
      <c r="C48" s="203" t="e">
        <f>C46/C47</f>
        <v>#DIV/0!</v>
      </c>
      <c r="D48" s="746"/>
      <c r="E48" s="746"/>
      <c r="F48" s="746"/>
      <c r="G48" s="746"/>
      <c r="H48" s="610"/>
    </row>
    <row r="49" spans="2:8" x14ac:dyDescent="0.2">
      <c r="B49" t="s">
        <v>747</v>
      </c>
      <c r="C49" s="133" t="e">
        <f>Expenses!F38/'Cash Inc.'!G55</f>
        <v>#DIV/0!</v>
      </c>
      <c r="D49" s="749"/>
      <c r="E49" s="749"/>
      <c r="F49" s="749"/>
      <c r="G49" s="749"/>
      <c r="H49" s="612"/>
    </row>
    <row r="50" spans="2:8" x14ac:dyDescent="0.2">
      <c r="D50" s="747"/>
      <c r="E50" s="747"/>
      <c r="F50" s="747"/>
      <c r="G50" s="747"/>
      <c r="H50" s="610"/>
    </row>
    <row r="51" spans="2:8" x14ac:dyDescent="0.2">
      <c r="B51" s="63" t="s">
        <v>749</v>
      </c>
      <c r="C51" s="61"/>
      <c r="D51" s="748"/>
      <c r="E51" s="748"/>
      <c r="F51" s="748"/>
      <c r="G51" s="748"/>
      <c r="H51" s="611"/>
    </row>
    <row r="52" spans="2:8" x14ac:dyDescent="0.2">
      <c r="B52" t="s">
        <v>750</v>
      </c>
      <c r="C52" s="69" t="e">
        <f>Expenses!F20/SUM('Cash Inc.'!G7:G32)</f>
        <v>#DIV/0!</v>
      </c>
      <c r="D52" s="751"/>
      <c r="E52" s="751"/>
      <c r="F52" s="751"/>
      <c r="G52" s="751"/>
      <c r="H52" s="613"/>
    </row>
    <row r="53" spans="2:8" x14ac:dyDescent="0.2">
      <c r="B53" t="s">
        <v>751</v>
      </c>
      <c r="C53" s="69" t="e">
        <f>(Expenses!F7+Expenses!F15)/SUM('Cash Inc.'!G7:G32)</f>
        <v>#DIV/0!</v>
      </c>
      <c r="D53" s="751"/>
      <c r="E53" s="751"/>
      <c r="F53" s="751"/>
      <c r="G53" s="751"/>
      <c r="H53" s="613"/>
    </row>
    <row r="54" spans="2:8" x14ac:dyDescent="0.2">
      <c r="B54" t="s">
        <v>752</v>
      </c>
      <c r="C54" s="69" t="e">
        <f>Expenses!F35/SUM('Cash Inc.'!G7:G32)</f>
        <v>#DIV/0!</v>
      </c>
      <c r="D54" s="751"/>
      <c r="E54" s="751"/>
      <c r="F54" s="751"/>
      <c r="G54" s="751"/>
      <c r="H54" s="613"/>
    </row>
    <row r="55" spans="2:8" x14ac:dyDescent="0.2">
      <c r="B55" s="63" t="s">
        <v>485</v>
      </c>
      <c r="C55" s="22" t="s">
        <v>748</v>
      </c>
      <c r="D55" s="614"/>
      <c r="E55" s="614"/>
      <c r="F55" s="614"/>
      <c r="G55" s="614"/>
      <c r="H55" s="615"/>
    </row>
    <row r="56" spans="2:8" x14ac:dyDescent="0.2">
      <c r="B56" t="s">
        <v>486</v>
      </c>
      <c r="C56" s="2" t="e">
        <f>((Expenses!C7+Expenses!C15)+('Mo. Labor'!E39*2000)+'Mo. Labor'!L40*2000)/'Prdtn &amp; Acres'!F41</f>
        <v>#DIV/0!</v>
      </c>
      <c r="D56" s="744"/>
      <c r="E56" s="744"/>
      <c r="F56" s="744"/>
      <c r="G56" s="744"/>
      <c r="H56" s="609"/>
    </row>
    <row r="57" spans="2:8" x14ac:dyDescent="0.2">
      <c r="B57" t="s">
        <v>487</v>
      </c>
      <c r="C57" s="7" t="e">
        <f>(Expenses!F16+Expenses!F17+Expenses!F18+Expenses!F19+(Assets!F38*0.05)+Expenses!F39)/'Prdtn &amp; Acres'!F41</f>
        <v>#DIV/0!</v>
      </c>
      <c r="D57" s="744"/>
      <c r="E57" s="744"/>
      <c r="F57" s="744"/>
      <c r="G57" s="744"/>
      <c r="H57" s="609"/>
    </row>
    <row r="58" spans="2:8" x14ac:dyDescent="0.2">
      <c r="B58" t="s">
        <v>488</v>
      </c>
      <c r="C58" s="7" t="e">
        <f>Expenses!F20/'Prdtn &amp; Acres'!F41</f>
        <v>#DIV/0!</v>
      </c>
      <c r="D58" s="744"/>
      <c r="E58" s="744"/>
      <c r="F58" s="744"/>
      <c r="G58" s="744"/>
      <c r="H58" s="609"/>
    </row>
    <row r="59" spans="2:8" x14ac:dyDescent="0.2">
      <c r="B59" t="s">
        <v>904</v>
      </c>
      <c r="C59" s="133" t="e">
        <f>(Expenses!F7+Expenses!F15)/Expenses!F38</f>
        <v>#DIV/0!</v>
      </c>
      <c r="D59" s="749"/>
      <c r="E59" s="749"/>
      <c r="F59" s="749"/>
      <c r="G59" s="749"/>
      <c r="H59" s="612"/>
    </row>
    <row r="60" spans="2:8" x14ac:dyDescent="0.2">
      <c r="B60" s="61" t="s">
        <v>905</v>
      </c>
      <c r="C60" s="67" t="e">
        <f>Expenses!H44</f>
        <v>#DIV/0!</v>
      </c>
      <c r="D60" s="443"/>
      <c r="E60" s="443"/>
      <c r="F60" s="443"/>
      <c r="G60" s="443"/>
      <c r="H60" s="443"/>
    </row>
    <row r="61" spans="2:8" x14ac:dyDescent="0.2">
      <c r="B61" s="54" t="s">
        <v>883</v>
      </c>
      <c r="C61" s="203">
        <f>'Mo. Labor'!L41</f>
        <v>0</v>
      </c>
      <c r="D61" s="722"/>
      <c r="E61" s="722"/>
      <c r="F61" s="722"/>
      <c r="G61" s="722"/>
      <c r="H61" s="722"/>
    </row>
    <row r="62" spans="2:8" x14ac:dyDescent="0.2">
      <c r="B62" s="54" t="s">
        <v>880</v>
      </c>
      <c r="C62" s="203" t="e">
        <f>C3/C61</f>
        <v>#DIV/0!</v>
      </c>
      <c r="D62" s="722"/>
      <c r="E62" s="722"/>
      <c r="F62" s="722"/>
      <c r="G62" s="722"/>
      <c r="H62" s="722"/>
    </row>
    <row r="63" spans="2:8" x14ac:dyDescent="0.2">
      <c r="B63" s="54" t="s">
        <v>881</v>
      </c>
      <c r="C63" s="203" t="e">
        <f>C4/C61</f>
        <v>#DIV/0!</v>
      </c>
      <c r="D63" s="722"/>
      <c r="E63" s="722"/>
      <c r="F63" s="722"/>
      <c r="G63" s="722"/>
      <c r="H63" s="722"/>
    </row>
    <row r="64" spans="2:8" x14ac:dyDescent="0.2">
      <c r="B64" s="54" t="s">
        <v>882</v>
      </c>
      <c r="C64" s="2" t="e">
        <f>C14/C61</f>
        <v>#DIV/0!</v>
      </c>
      <c r="D64" s="752"/>
      <c r="E64" s="752"/>
      <c r="F64" s="752"/>
      <c r="G64" s="752"/>
      <c r="H64" s="752"/>
    </row>
    <row r="65" spans="2:8" x14ac:dyDescent="0.2">
      <c r="B65" s="61"/>
      <c r="C65" s="61"/>
      <c r="D65" s="753"/>
      <c r="E65" s="753"/>
      <c r="F65" s="753"/>
      <c r="G65" s="753"/>
      <c r="H65" s="753"/>
    </row>
    <row r="66" spans="2:8" x14ac:dyDescent="0.2">
      <c r="B66" s="54" t="s">
        <v>884</v>
      </c>
      <c r="C66" s="2" t="e">
        <f>C25/C3</f>
        <v>#DIV/0!</v>
      </c>
      <c r="D66" s="752"/>
      <c r="E66" s="752"/>
      <c r="F66" s="752"/>
      <c r="G66" s="752"/>
      <c r="H66" s="752"/>
    </row>
    <row r="67" spans="2:8" x14ac:dyDescent="0.2">
      <c r="B67" s="54" t="s">
        <v>885</v>
      </c>
      <c r="C67" s="2" t="e">
        <f>C25/C4</f>
        <v>#DIV/0!</v>
      </c>
      <c r="D67" s="752"/>
      <c r="E67" s="752"/>
      <c r="F67" s="752"/>
      <c r="G67" s="752"/>
      <c r="H67" s="752"/>
    </row>
    <row r="68" spans="2:8" x14ac:dyDescent="0.2">
      <c r="B68" s="54" t="s">
        <v>900</v>
      </c>
      <c r="C68" s="203">
        <f>'Prdtn &amp; Acres'!K5</f>
        <v>0</v>
      </c>
      <c r="D68" s="754"/>
      <c r="E68" s="754"/>
      <c r="F68" s="754"/>
      <c r="G68" s="754"/>
      <c r="H68" s="754"/>
    </row>
    <row r="69" spans="2:8" x14ac:dyDescent="0.2">
      <c r="B69" s="124" t="s">
        <v>901</v>
      </c>
      <c r="C69" s="717">
        <f>'Prdtn &amp; Acres'!L5</f>
        <v>0</v>
      </c>
      <c r="D69" s="710"/>
      <c r="E69" s="710"/>
      <c r="F69" s="710"/>
      <c r="G69" s="710"/>
      <c r="H69" s="710"/>
    </row>
    <row r="70" spans="2:8" x14ac:dyDescent="0.2">
      <c r="B70" s="54" t="s">
        <v>886</v>
      </c>
      <c r="C70" s="2">
        <f>Assets!C62</f>
        <v>0</v>
      </c>
      <c r="D70" s="752"/>
      <c r="E70" s="752"/>
      <c r="F70" s="752"/>
      <c r="G70" s="752"/>
      <c r="H70" s="752"/>
    </row>
    <row r="71" spans="2:8" x14ac:dyDescent="0.2">
      <c r="B71" s="54" t="s">
        <v>906</v>
      </c>
      <c r="C71" s="2">
        <f>Assets!C20</f>
        <v>0</v>
      </c>
      <c r="D71" s="752"/>
      <c r="E71" s="752"/>
      <c r="F71" s="752"/>
      <c r="G71" s="752"/>
      <c r="H71" s="752"/>
    </row>
    <row r="72" spans="2:8" x14ac:dyDescent="0.2">
      <c r="B72" s="54" t="s">
        <v>907</v>
      </c>
      <c r="C72" s="2">
        <f>Assets!C53</f>
        <v>0</v>
      </c>
      <c r="D72" s="752"/>
      <c r="E72" s="752"/>
      <c r="F72" s="752"/>
      <c r="G72" s="752"/>
      <c r="H72" s="752"/>
    </row>
    <row r="73" spans="2:8" ht="13.5" thickBot="1" x14ac:dyDescent="0.25">
      <c r="B73" s="718" t="s">
        <v>909</v>
      </c>
      <c r="C73" s="719">
        <f>Assets!E75+Assets!E77+Assets!E78+Assets!E79</f>
        <v>0</v>
      </c>
      <c r="D73" s="755"/>
      <c r="E73" s="755"/>
      <c r="F73" s="755"/>
      <c r="G73" s="755"/>
      <c r="H73" s="755"/>
    </row>
    <row r="74" spans="2:8" ht="13.5" thickTop="1" x14ac:dyDescent="0.2">
      <c r="B74" s="54" t="s">
        <v>910</v>
      </c>
      <c r="C74" s="2">
        <f>SUM(C70:C73)</f>
        <v>0</v>
      </c>
      <c r="D74" s="752"/>
      <c r="E74" s="752"/>
      <c r="F74" s="752"/>
      <c r="G74" s="752"/>
      <c r="H74" s="752"/>
    </row>
    <row r="75" spans="2:8" x14ac:dyDescent="0.2">
      <c r="B75" s="757" t="s">
        <v>938</v>
      </c>
      <c r="C75" s="2" t="e">
        <f>C74/C3</f>
        <v>#DIV/0!</v>
      </c>
      <c r="D75" s="752"/>
      <c r="E75" s="752"/>
      <c r="F75" s="752"/>
      <c r="G75" s="752"/>
      <c r="H75" s="752"/>
    </row>
    <row r="76" spans="2:8" x14ac:dyDescent="0.2">
      <c r="C76" s="756" t="str">
        <f>C1</f>
        <v>2014</v>
      </c>
      <c r="D76" s="756">
        <f>C76-1</f>
        <v>2013</v>
      </c>
      <c r="E76" s="756">
        <f>D76-1</f>
        <v>2012</v>
      </c>
      <c r="F76" s="756">
        <f>E76-1</f>
        <v>2011</v>
      </c>
      <c r="G76" s="756">
        <f>F76-1</f>
        <v>2010</v>
      </c>
      <c r="H76" s="756">
        <f>G76-1</f>
        <v>2009</v>
      </c>
    </row>
  </sheetData>
  <sheetProtection password="DA6F" sheet="1" objects="1" scenarios="1"/>
  <phoneticPr fontId="0" type="noConversion"/>
  <printOptions horizontalCentered="1" verticalCentered="1"/>
  <pageMargins left="0.25" right="0.25" top="0.5" bottom="0.25" header="0.25" footer="0"/>
  <pageSetup scale="80" orientation="portrait" blackAndWhite="1" horizontalDpi="4294967294" verticalDpi="300" r:id="rId1"/>
  <headerFooter alignWithMargins="0">
    <oddFooter>&amp;Ldeveloped by A.DeMarree,CCE 2004&amp;R&amp;F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2"/>
  <sheetViews>
    <sheetView zoomScaleNormal="75" workbookViewId="0">
      <pane ySplit="510" activePane="bottomLeft"/>
      <selection activeCell="E65" sqref="E65"/>
      <selection pane="bottomLeft" activeCell="C2" sqref="C2"/>
    </sheetView>
  </sheetViews>
  <sheetFormatPr defaultRowHeight="12.75" x14ac:dyDescent="0.2"/>
  <cols>
    <col min="1" max="1" width="2.5703125" customWidth="1"/>
    <col min="2" max="2" width="21.7109375" customWidth="1"/>
    <col min="3" max="3" width="11.28515625" customWidth="1"/>
    <col min="4" max="5" width="10.28515625" customWidth="1"/>
    <col min="6" max="6" width="11.140625" customWidth="1"/>
    <col min="7" max="7" width="6.42578125" customWidth="1"/>
    <col min="8" max="8" width="21.85546875" customWidth="1"/>
    <col min="9" max="9" width="10.28515625" customWidth="1"/>
    <col min="10" max="10" width="9.85546875" customWidth="1"/>
    <col min="12" max="12" width="11.7109375" customWidth="1"/>
  </cols>
  <sheetData>
    <row r="1" spans="2:16" x14ac:dyDescent="0.2">
      <c r="B1" s="1" t="s">
        <v>136</v>
      </c>
      <c r="C1" s="5" t="s">
        <v>123</v>
      </c>
      <c r="D1" s="5" t="s">
        <v>128</v>
      </c>
      <c r="E1" s="5" t="s">
        <v>129</v>
      </c>
      <c r="F1" s="5" t="s">
        <v>124</v>
      </c>
      <c r="G1" s="5" t="s">
        <v>505</v>
      </c>
      <c r="H1" s="1" t="s">
        <v>135</v>
      </c>
      <c r="I1" s="5" t="s">
        <v>123</v>
      </c>
      <c r="J1" s="5" t="s">
        <v>128</v>
      </c>
      <c r="K1" s="5" t="s">
        <v>129</v>
      </c>
      <c r="L1" s="5" t="s">
        <v>124</v>
      </c>
      <c r="N1" s="775" t="s">
        <v>353</v>
      </c>
      <c r="O1" s="775"/>
      <c r="P1" s="775"/>
    </row>
    <row r="2" spans="2:16" x14ac:dyDescent="0.2">
      <c r="B2" t="s">
        <v>4</v>
      </c>
      <c r="C2" s="309"/>
      <c r="D2" s="309"/>
      <c r="E2" s="309"/>
      <c r="F2" s="59">
        <f>C2-D2+E2</f>
        <v>0</v>
      </c>
      <c r="H2" t="s">
        <v>4</v>
      </c>
      <c r="I2" s="309"/>
      <c r="J2" s="309"/>
      <c r="K2" s="309"/>
      <c r="L2" s="59">
        <f>I2-J2+K2</f>
        <v>0</v>
      </c>
      <c r="N2" s="689" t="s">
        <v>780</v>
      </c>
      <c r="O2" s="689" t="s">
        <v>871</v>
      </c>
      <c r="P2" s="689" t="s">
        <v>929</v>
      </c>
    </row>
    <row r="3" spans="2:16" x14ac:dyDescent="0.2">
      <c r="B3" t="s">
        <v>21</v>
      </c>
      <c r="C3" s="309"/>
      <c r="D3" s="309"/>
      <c r="E3" s="355"/>
      <c r="F3" s="59">
        <f>C3-D3+E3</f>
        <v>0</v>
      </c>
      <c r="H3" t="s">
        <v>21</v>
      </c>
      <c r="I3" s="355"/>
      <c r="J3" s="309"/>
      <c r="K3" s="309"/>
      <c r="L3" s="59">
        <f t="shared" ref="L3:L38" si="0">I3-J3+K3</f>
        <v>0</v>
      </c>
      <c r="N3" s="346">
        <v>1</v>
      </c>
      <c r="O3" s="690"/>
      <c r="P3" s="690"/>
    </row>
    <row r="4" spans="2:16" x14ac:dyDescent="0.2">
      <c r="B4" t="s">
        <v>619</v>
      </c>
      <c r="C4" s="309"/>
      <c r="D4" s="309"/>
      <c r="E4" s="309"/>
      <c r="F4" s="59">
        <f>C4-D4+E4</f>
        <v>0</v>
      </c>
      <c r="H4" t="s">
        <v>619</v>
      </c>
      <c r="I4" s="309"/>
      <c r="J4" s="309"/>
      <c r="K4" s="309"/>
      <c r="L4" s="59">
        <f t="shared" si="0"/>
        <v>0</v>
      </c>
      <c r="N4" s="346">
        <v>2</v>
      </c>
      <c r="O4" s="690"/>
      <c r="P4" s="690"/>
    </row>
    <row r="5" spans="2:16" x14ac:dyDescent="0.2">
      <c r="B5" s="70" t="s">
        <v>152</v>
      </c>
      <c r="C5" s="580">
        <f>SUM(C2:C4)</f>
        <v>0</v>
      </c>
      <c r="D5" s="580">
        <f>SUM(D2:D4)</f>
        <v>0</v>
      </c>
      <c r="E5" s="580">
        <f>SUM(E2:E4)</f>
        <v>0</v>
      </c>
      <c r="F5" s="581">
        <f>SUM(F2:F4)</f>
        <v>0</v>
      </c>
      <c r="G5" s="207" t="e">
        <f t="shared" ref="G5:G30" si="1">F5/$I$43</f>
        <v>#DIV/0!</v>
      </c>
      <c r="H5" s="582" t="s">
        <v>152</v>
      </c>
      <c r="I5" s="580">
        <f>SUM(I2:I4)</f>
        <v>0</v>
      </c>
      <c r="J5" s="580">
        <f>SUM(J2:J4)</f>
        <v>0</v>
      </c>
      <c r="K5" s="580">
        <f>SUM(K2:K4)</f>
        <v>0</v>
      </c>
      <c r="L5" s="581">
        <f>SUM(L2:L4)</f>
        <v>0</v>
      </c>
      <c r="N5" s="346">
        <v>3</v>
      </c>
      <c r="O5" s="691"/>
      <c r="P5" s="690"/>
    </row>
    <row r="6" spans="2:16" x14ac:dyDescent="0.2">
      <c r="B6" t="s">
        <v>5</v>
      </c>
      <c r="C6" s="309"/>
      <c r="D6" s="309"/>
      <c r="E6" s="309"/>
      <c r="F6" s="59">
        <f t="shared" ref="F6:F39" si="2">C6-D6+E6</f>
        <v>0</v>
      </c>
      <c r="G6" s="207" t="e">
        <f t="shared" si="1"/>
        <v>#DIV/0!</v>
      </c>
      <c r="H6" t="s">
        <v>5</v>
      </c>
      <c r="I6" s="309"/>
      <c r="J6" s="309"/>
      <c r="K6" s="309"/>
      <c r="L6" s="59">
        <f t="shared" si="0"/>
        <v>0</v>
      </c>
      <c r="N6" s="625">
        <v>4</v>
      </c>
      <c r="O6" s="690"/>
      <c r="P6" s="690"/>
    </row>
    <row r="7" spans="2:16" x14ac:dyDescent="0.2">
      <c r="B7" t="s">
        <v>336</v>
      </c>
      <c r="C7" s="309"/>
      <c r="D7" s="309"/>
      <c r="E7" s="309"/>
      <c r="F7" s="59">
        <f t="shared" si="2"/>
        <v>0</v>
      </c>
      <c r="G7" s="207" t="e">
        <f t="shared" si="1"/>
        <v>#DIV/0!</v>
      </c>
      <c r="H7" t="s">
        <v>336</v>
      </c>
      <c r="I7" s="309"/>
      <c r="J7" s="309"/>
      <c r="K7" s="309"/>
      <c r="L7" s="59">
        <f t="shared" si="0"/>
        <v>0</v>
      </c>
      <c r="N7" s="625">
        <v>5</v>
      </c>
      <c r="O7" s="690"/>
      <c r="P7" s="690"/>
    </row>
    <row r="8" spans="2:16" x14ac:dyDescent="0.2">
      <c r="B8" s="107" t="s">
        <v>337</v>
      </c>
      <c r="C8" s="309"/>
      <c r="D8" s="309"/>
      <c r="E8" s="309"/>
      <c r="F8" s="62">
        <f t="shared" si="2"/>
        <v>0</v>
      </c>
      <c r="G8" s="207" t="e">
        <f t="shared" si="1"/>
        <v>#DIV/0!</v>
      </c>
      <c r="H8" s="107" t="s">
        <v>337</v>
      </c>
      <c r="I8" s="309"/>
      <c r="J8" s="309"/>
      <c r="K8" s="309"/>
      <c r="L8" s="62">
        <f t="shared" si="0"/>
        <v>0</v>
      </c>
      <c r="N8" s="625"/>
      <c r="O8" s="692">
        <f>SUM(O3:O7)</f>
        <v>0</v>
      </c>
      <c r="P8" s="692">
        <f>SUM(P3:P7)</f>
        <v>0</v>
      </c>
    </row>
    <row r="9" spans="2:16" x14ac:dyDescent="0.2">
      <c r="B9" t="s">
        <v>386</v>
      </c>
      <c r="C9" s="309"/>
      <c r="D9" s="309"/>
      <c r="E9" s="309"/>
      <c r="F9" s="59">
        <f t="shared" si="2"/>
        <v>0</v>
      </c>
      <c r="G9" s="207" t="e">
        <f t="shared" si="1"/>
        <v>#DIV/0!</v>
      </c>
      <c r="H9" t="s">
        <v>386</v>
      </c>
      <c r="I9" s="309"/>
      <c r="J9" s="309"/>
      <c r="K9" s="309"/>
      <c r="L9" s="59">
        <f t="shared" si="0"/>
        <v>0</v>
      </c>
      <c r="N9" s="625"/>
      <c r="O9" s="690"/>
      <c r="P9" s="690">
        <f>P8*20</f>
        <v>0</v>
      </c>
    </row>
    <row r="10" spans="2:16" x14ac:dyDescent="0.2">
      <c r="B10" s="61" t="s">
        <v>498</v>
      </c>
      <c r="C10" s="309"/>
      <c r="D10" s="309"/>
      <c r="E10" s="309"/>
      <c r="F10" s="62">
        <f t="shared" si="2"/>
        <v>0</v>
      </c>
      <c r="G10" s="207" t="e">
        <f t="shared" si="1"/>
        <v>#DIV/0!</v>
      </c>
      <c r="H10" s="61" t="s">
        <v>498</v>
      </c>
      <c r="I10" s="309"/>
      <c r="J10" s="309"/>
      <c r="K10" s="309"/>
      <c r="L10" s="62">
        <f t="shared" si="0"/>
        <v>0</v>
      </c>
      <c r="N10" s="625"/>
      <c r="O10" s="690"/>
      <c r="P10" s="690"/>
    </row>
    <row r="11" spans="2:16" x14ac:dyDescent="0.2">
      <c r="B11" t="s">
        <v>131</v>
      </c>
      <c r="C11" s="309"/>
      <c r="D11" s="309"/>
      <c r="E11" s="309"/>
      <c r="F11" s="59">
        <f t="shared" si="2"/>
        <v>0</v>
      </c>
      <c r="G11" s="207" t="e">
        <f t="shared" si="1"/>
        <v>#DIV/0!</v>
      </c>
      <c r="H11" t="s">
        <v>131</v>
      </c>
      <c r="I11" s="309"/>
      <c r="J11" s="309"/>
      <c r="K11" s="309"/>
      <c r="L11" s="59">
        <f t="shared" si="0"/>
        <v>0</v>
      </c>
      <c r="N11" s="346"/>
      <c r="O11" s="690"/>
      <c r="P11" s="690"/>
    </row>
    <row r="12" spans="2:16" x14ac:dyDescent="0.2">
      <c r="B12" s="61" t="s">
        <v>130</v>
      </c>
      <c r="C12" s="309"/>
      <c r="D12" s="309"/>
      <c r="E12" s="309"/>
      <c r="F12" s="62">
        <f t="shared" si="2"/>
        <v>0</v>
      </c>
      <c r="G12" s="207" t="e">
        <f t="shared" si="1"/>
        <v>#DIV/0!</v>
      </c>
      <c r="H12" s="61" t="s">
        <v>130</v>
      </c>
      <c r="I12" s="309"/>
      <c r="J12" s="309"/>
      <c r="K12" s="309"/>
      <c r="L12" s="62">
        <f t="shared" si="0"/>
        <v>0</v>
      </c>
      <c r="N12" s="346"/>
      <c r="O12" s="690"/>
      <c r="P12" s="690"/>
    </row>
    <row r="13" spans="2:16" x14ac:dyDescent="0.2">
      <c r="B13" t="s">
        <v>715</v>
      </c>
      <c r="C13" s="309"/>
      <c r="D13" s="309"/>
      <c r="E13" s="309"/>
      <c r="F13" s="59">
        <f t="shared" si="2"/>
        <v>0</v>
      </c>
      <c r="G13" s="207" t="e">
        <f t="shared" si="1"/>
        <v>#DIV/0!</v>
      </c>
      <c r="H13" t="s">
        <v>715</v>
      </c>
      <c r="I13" s="309"/>
      <c r="J13" s="309"/>
      <c r="K13" s="309"/>
      <c r="L13" s="59">
        <f t="shared" si="0"/>
        <v>0</v>
      </c>
      <c r="N13" s="625"/>
      <c r="O13" s="691"/>
      <c r="P13" s="690"/>
    </row>
    <row r="14" spans="2:16" x14ac:dyDescent="0.2">
      <c r="B14" s="61" t="s">
        <v>448</v>
      </c>
      <c r="C14" s="309"/>
      <c r="D14" s="309"/>
      <c r="E14" s="309"/>
      <c r="F14" s="62">
        <f t="shared" si="2"/>
        <v>0</v>
      </c>
      <c r="G14" s="207" t="e">
        <f t="shared" si="1"/>
        <v>#DIV/0!</v>
      </c>
      <c r="H14" s="61" t="s">
        <v>448</v>
      </c>
      <c r="I14" s="309"/>
      <c r="J14" s="309"/>
      <c r="K14" s="309"/>
      <c r="L14" s="62">
        <f t="shared" si="0"/>
        <v>0</v>
      </c>
      <c r="N14" s="625"/>
      <c r="O14" s="690"/>
      <c r="P14" s="690"/>
    </row>
    <row r="15" spans="2:16" x14ac:dyDescent="0.2">
      <c r="B15" t="s">
        <v>502</v>
      </c>
      <c r="C15" s="309"/>
      <c r="D15" s="309"/>
      <c r="E15" s="309"/>
      <c r="F15" s="59">
        <f t="shared" si="2"/>
        <v>0</v>
      </c>
      <c r="G15" s="207" t="e">
        <f t="shared" si="1"/>
        <v>#DIV/0!</v>
      </c>
      <c r="H15" t="s">
        <v>502</v>
      </c>
      <c r="I15" s="309"/>
      <c r="J15" s="309"/>
      <c r="K15" s="309"/>
      <c r="L15" s="59">
        <f t="shared" si="0"/>
        <v>0</v>
      </c>
      <c r="N15" s="625"/>
      <c r="O15" s="690"/>
      <c r="P15" s="690"/>
    </row>
    <row r="16" spans="2:16" ht="13.5" thickBot="1" x14ac:dyDescent="0.25">
      <c r="B16" s="282" t="s">
        <v>606</v>
      </c>
      <c r="C16" s="627"/>
      <c r="D16" s="627"/>
      <c r="E16" s="627"/>
      <c r="F16" s="283">
        <f t="shared" si="2"/>
        <v>0</v>
      </c>
      <c r="G16" s="207" t="e">
        <f t="shared" si="1"/>
        <v>#DIV/0!</v>
      </c>
      <c r="H16" s="282" t="s">
        <v>606</v>
      </c>
      <c r="I16" s="627"/>
      <c r="J16" s="627"/>
      <c r="K16" s="627"/>
      <c r="L16" s="283">
        <f t="shared" si="0"/>
        <v>0</v>
      </c>
      <c r="N16" s="625"/>
      <c r="O16" s="690"/>
      <c r="P16" s="690"/>
    </row>
    <row r="17" spans="2:16" x14ac:dyDescent="0.2">
      <c r="B17" t="s">
        <v>551</v>
      </c>
      <c r="C17" s="626"/>
      <c r="D17" s="626"/>
      <c r="E17" s="626"/>
      <c r="F17" s="59">
        <f t="shared" si="2"/>
        <v>0</v>
      </c>
      <c r="G17" s="207" t="e">
        <f t="shared" si="1"/>
        <v>#DIV/0!</v>
      </c>
      <c r="H17" t="s">
        <v>551</v>
      </c>
      <c r="I17" s="626"/>
      <c r="J17" s="626"/>
      <c r="K17" s="626"/>
      <c r="L17" s="59">
        <f t="shared" si="0"/>
        <v>0</v>
      </c>
      <c r="N17" s="625"/>
      <c r="O17" s="690"/>
      <c r="P17" s="690"/>
    </row>
    <row r="18" spans="2:16" x14ac:dyDescent="0.2">
      <c r="B18" t="s">
        <v>552</v>
      </c>
      <c r="C18" s="309"/>
      <c r="D18" s="309"/>
      <c r="E18" s="309"/>
      <c r="F18" s="59">
        <f t="shared" si="2"/>
        <v>0</v>
      </c>
      <c r="G18" s="207" t="e">
        <f t="shared" si="1"/>
        <v>#DIV/0!</v>
      </c>
      <c r="H18" t="s">
        <v>552</v>
      </c>
      <c r="I18" s="309"/>
      <c r="J18" s="309"/>
      <c r="K18" s="309"/>
      <c r="L18" s="59">
        <f t="shared" si="0"/>
        <v>0</v>
      </c>
      <c r="N18" s="346"/>
      <c r="O18" s="690"/>
      <c r="P18" s="690"/>
    </row>
    <row r="19" spans="2:16" x14ac:dyDescent="0.2">
      <c r="B19" s="61" t="s">
        <v>553</v>
      </c>
      <c r="C19" s="309"/>
      <c r="D19" s="309"/>
      <c r="E19" s="309"/>
      <c r="F19" s="62">
        <f t="shared" si="2"/>
        <v>0</v>
      </c>
      <c r="G19" s="207" t="e">
        <f t="shared" si="1"/>
        <v>#DIV/0!</v>
      </c>
      <c r="H19" s="61" t="s">
        <v>553</v>
      </c>
      <c r="I19" s="309"/>
      <c r="J19" s="309"/>
      <c r="K19" s="309"/>
      <c r="L19" s="62">
        <f t="shared" si="0"/>
        <v>0</v>
      </c>
      <c r="N19" s="625"/>
      <c r="O19" s="691"/>
      <c r="P19" s="690"/>
    </row>
    <row r="20" spans="2:16" x14ac:dyDescent="0.2">
      <c r="B20" t="s">
        <v>598</v>
      </c>
      <c r="C20" s="309"/>
      <c r="D20" s="309"/>
      <c r="E20" s="309"/>
      <c r="F20" s="59">
        <f>C20-D20+E20</f>
        <v>0</v>
      </c>
      <c r="G20" s="207" t="e">
        <f t="shared" si="1"/>
        <v>#DIV/0!</v>
      </c>
      <c r="H20" t="s">
        <v>598</v>
      </c>
      <c r="I20" s="309"/>
      <c r="J20" s="309"/>
      <c r="K20" s="309"/>
      <c r="L20" s="59">
        <f t="shared" ref="L20:L28" si="3">I20-J20+K20</f>
        <v>0</v>
      </c>
      <c r="N20" s="625"/>
      <c r="O20" s="690"/>
      <c r="P20" s="690"/>
    </row>
    <row r="21" spans="2:16" x14ac:dyDescent="0.2">
      <c r="B21" t="s">
        <v>599</v>
      </c>
      <c r="C21" s="309"/>
      <c r="D21" s="309"/>
      <c r="E21" s="309"/>
      <c r="F21" s="59">
        <f t="shared" si="2"/>
        <v>0</v>
      </c>
      <c r="G21" s="207" t="e">
        <f t="shared" si="1"/>
        <v>#DIV/0!</v>
      </c>
      <c r="H21" t="s">
        <v>599</v>
      </c>
      <c r="I21" s="309"/>
      <c r="J21" s="309"/>
      <c r="K21" s="309"/>
      <c r="L21" s="59">
        <f t="shared" si="3"/>
        <v>0</v>
      </c>
      <c r="N21" s="625"/>
      <c r="O21" s="690"/>
      <c r="P21" s="690"/>
    </row>
    <row r="22" spans="2:16" x14ac:dyDescent="0.2">
      <c r="B22" t="s">
        <v>620</v>
      </c>
      <c r="C22" s="309"/>
      <c r="D22" s="309"/>
      <c r="E22" s="309"/>
      <c r="F22" s="59">
        <f t="shared" si="2"/>
        <v>0</v>
      </c>
      <c r="G22" s="207" t="e">
        <f t="shared" si="1"/>
        <v>#DIV/0!</v>
      </c>
      <c r="H22" t="s">
        <v>620</v>
      </c>
      <c r="I22" s="309"/>
      <c r="J22" s="309"/>
      <c r="K22" s="309"/>
      <c r="L22" s="59">
        <f t="shared" si="3"/>
        <v>0</v>
      </c>
      <c r="N22" s="625"/>
      <c r="O22" s="690"/>
      <c r="P22" s="690"/>
    </row>
    <row r="23" spans="2:16" x14ac:dyDescent="0.2">
      <c r="B23" t="s">
        <v>600</v>
      </c>
      <c r="C23" s="309"/>
      <c r="D23" s="309"/>
      <c r="E23" s="309"/>
      <c r="F23" s="59">
        <f>C23-D23+E23</f>
        <v>0</v>
      </c>
      <c r="G23" s="207" t="e">
        <f t="shared" si="1"/>
        <v>#DIV/0!</v>
      </c>
      <c r="H23" t="s">
        <v>600</v>
      </c>
      <c r="I23" s="309"/>
      <c r="J23" s="309"/>
      <c r="K23" s="309"/>
      <c r="L23" s="59">
        <f t="shared" si="3"/>
        <v>0</v>
      </c>
      <c r="N23" s="625"/>
      <c r="O23" s="690"/>
      <c r="P23" s="690"/>
    </row>
    <row r="24" spans="2:16" x14ac:dyDescent="0.2">
      <c r="B24" t="s">
        <v>601</v>
      </c>
      <c r="C24" s="309"/>
      <c r="D24" s="309"/>
      <c r="E24" s="309"/>
      <c r="F24" s="59">
        <f t="shared" si="2"/>
        <v>0</v>
      </c>
      <c r="G24" s="207" t="e">
        <f t="shared" si="1"/>
        <v>#DIV/0!</v>
      </c>
      <c r="H24" t="s">
        <v>601</v>
      </c>
      <c r="I24" s="309"/>
      <c r="J24" s="309"/>
      <c r="K24" s="309"/>
      <c r="L24" s="59">
        <f t="shared" si="3"/>
        <v>0</v>
      </c>
      <c r="N24" s="346"/>
      <c r="O24" s="690"/>
      <c r="P24" s="690"/>
    </row>
    <row r="25" spans="2:16" x14ac:dyDescent="0.2">
      <c r="B25" t="s">
        <v>602</v>
      </c>
      <c r="C25" s="309"/>
      <c r="D25" s="309"/>
      <c r="E25" s="309"/>
      <c r="F25" s="59">
        <f>C25-D25+E25</f>
        <v>0</v>
      </c>
      <c r="G25" s="207" t="e">
        <f t="shared" si="1"/>
        <v>#DIV/0!</v>
      </c>
      <c r="H25" t="s">
        <v>602</v>
      </c>
      <c r="I25" s="309"/>
      <c r="J25" s="309"/>
      <c r="K25" s="309"/>
      <c r="L25" s="59">
        <f t="shared" si="3"/>
        <v>0</v>
      </c>
      <c r="N25" s="346"/>
      <c r="O25" s="690"/>
      <c r="P25" s="690"/>
    </row>
    <row r="26" spans="2:16" x14ac:dyDescent="0.2">
      <c r="B26" t="s">
        <v>603</v>
      </c>
      <c r="C26" s="309"/>
      <c r="D26" s="309"/>
      <c r="E26" s="309"/>
      <c r="F26" s="59">
        <f t="shared" si="2"/>
        <v>0</v>
      </c>
      <c r="G26" s="207" t="e">
        <f t="shared" si="1"/>
        <v>#DIV/0!</v>
      </c>
      <c r="H26" t="s">
        <v>603</v>
      </c>
      <c r="I26" s="309"/>
      <c r="J26" s="309"/>
      <c r="K26" s="309"/>
      <c r="L26" s="59">
        <f t="shared" si="3"/>
        <v>0</v>
      </c>
      <c r="N26" s="346"/>
      <c r="O26" s="690"/>
      <c r="P26" s="690"/>
    </row>
    <row r="27" spans="2:16" x14ac:dyDescent="0.2">
      <c r="B27" t="s">
        <v>604</v>
      </c>
      <c r="C27" s="309"/>
      <c r="D27" s="309"/>
      <c r="E27" s="309"/>
      <c r="F27" s="59">
        <f>C27-D27+E27</f>
        <v>0</v>
      </c>
      <c r="G27" s="207" t="e">
        <f t="shared" si="1"/>
        <v>#DIV/0!</v>
      </c>
      <c r="H27" t="s">
        <v>604</v>
      </c>
      <c r="I27" s="309"/>
      <c r="J27" s="309"/>
      <c r="K27" s="309"/>
      <c r="L27" s="59">
        <f t="shared" si="3"/>
        <v>0</v>
      </c>
      <c r="N27" s="346"/>
      <c r="O27" s="690"/>
      <c r="P27" s="690"/>
    </row>
    <row r="28" spans="2:16" x14ac:dyDescent="0.2">
      <c r="B28" t="s">
        <v>605</v>
      </c>
      <c r="C28" s="309"/>
      <c r="D28" s="309"/>
      <c r="E28" s="309"/>
      <c r="F28" s="59">
        <f t="shared" si="2"/>
        <v>0</v>
      </c>
      <c r="G28" s="207" t="e">
        <f t="shared" si="1"/>
        <v>#DIV/0!</v>
      </c>
      <c r="H28" t="s">
        <v>605</v>
      </c>
      <c r="I28" s="309"/>
      <c r="J28" s="309"/>
      <c r="K28" s="309"/>
      <c r="L28" s="59">
        <f t="shared" si="3"/>
        <v>0</v>
      </c>
      <c r="N28" s="346"/>
      <c r="O28" s="690"/>
      <c r="P28" s="690"/>
    </row>
    <row r="29" spans="2:16" x14ac:dyDescent="0.2">
      <c r="B29" t="s">
        <v>608</v>
      </c>
      <c r="C29" s="309"/>
      <c r="D29" s="309"/>
      <c r="E29" s="309"/>
      <c r="F29" s="59">
        <f t="shared" si="2"/>
        <v>0</v>
      </c>
      <c r="G29" s="207" t="e">
        <f t="shared" si="1"/>
        <v>#DIV/0!</v>
      </c>
      <c r="H29" t="s">
        <v>608</v>
      </c>
      <c r="I29" s="309"/>
      <c r="J29" s="309"/>
      <c r="K29" s="309"/>
      <c r="L29" s="59">
        <f t="shared" si="0"/>
        <v>0</v>
      </c>
      <c r="N29" s="625"/>
      <c r="O29" s="691"/>
      <c r="P29" s="690"/>
    </row>
    <row r="30" spans="2:16" ht="13.5" thickBot="1" x14ac:dyDescent="0.25">
      <c r="B30" s="282" t="s">
        <v>607</v>
      </c>
      <c r="C30" s="627"/>
      <c r="D30" s="627"/>
      <c r="E30" s="627"/>
      <c r="F30" s="283">
        <f t="shared" si="2"/>
        <v>0</v>
      </c>
      <c r="G30" s="207" t="e">
        <f t="shared" si="1"/>
        <v>#DIV/0!</v>
      </c>
      <c r="H30" s="282" t="s">
        <v>607</v>
      </c>
      <c r="I30" s="627"/>
      <c r="J30" s="627"/>
      <c r="K30" s="627"/>
      <c r="L30" s="283">
        <f t="shared" si="0"/>
        <v>0</v>
      </c>
      <c r="N30" s="625"/>
      <c r="O30" s="690"/>
      <c r="P30" s="690"/>
    </row>
    <row r="31" spans="2:16" x14ac:dyDescent="0.2">
      <c r="B31" t="s">
        <v>842</v>
      </c>
      <c r="C31" s="626"/>
      <c r="D31" s="626"/>
      <c r="E31" s="626"/>
      <c r="F31" s="59">
        <f t="shared" si="2"/>
        <v>0</v>
      </c>
      <c r="H31" s="64" t="s">
        <v>149</v>
      </c>
      <c r="I31" s="626"/>
      <c r="J31" s="626"/>
      <c r="K31" s="626"/>
      <c r="L31" s="59">
        <f t="shared" si="0"/>
        <v>0</v>
      </c>
      <c r="N31" s="625"/>
      <c r="O31" s="690"/>
      <c r="P31" s="690"/>
    </row>
    <row r="32" spans="2:16" x14ac:dyDescent="0.2">
      <c r="B32" s="595" t="s">
        <v>660</v>
      </c>
      <c r="C32" s="309"/>
      <c r="D32" s="309"/>
      <c r="E32" s="309"/>
      <c r="F32" s="59">
        <f t="shared" si="2"/>
        <v>0</v>
      </c>
      <c r="H32" s="64" t="s">
        <v>150</v>
      </c>
      <c r="I32" s="309"/>
      <c r="J32" s="309"/>
      <c r="K32" s="309"/>
      <c r="L32" s="59">
        <f t="shared" si="0"/>
        <v>0</v>
      </c>
      <c r="N32" s="625"/>
      <c r="O32" s="690"/>
      <c r="P32" s="690"/>
    </row>
    <row r="33" spans="2:16" x14ac:dyDescent="0.2">
      <c r="B33" s="595" t="s">
        <v>661</v>
      </c>
      <c r="C33" s="309"/>
      <c r="D33" s="309"/>
      <c r="E33" s="309"/>
      <c r="F33" s="59">
        <f t="shared" si="2"/>
        <v>0</v>
      </c>
      <c r="H33" s="61"/>
      <c r="I33" s="309"/>
      <c r="J33" s="309"/>
      <c r="K33" s="309"/>
      <c r="L33" s="62">
        <f t="shared" si="0"/>
        <v>0</v>
      </c>
      <c r="N33" s="625"/>
      <c r="O33" s="690"/>
      <c r="P33" s="690"/>
    </row>
    <row r="34" spans="2:16" x14ac:dyDescent="0.2">
      <c r="B34" s="595" t="s">
        <v>844</v>
      </c>
      <c r="C34" s="309"/>
      <c r="D34" s="309"/>
      <c r="E34" s="309"/>
      <c r="F34" s="59">
        <f t="shared" si="2"/>
        <v>0</v>
      </c>
      <c r="H34" t="s">
        <v>213</v>
      </c>
      <c r="I34" s="309"/>
      <c r="J34" s="309"/>
      <c r="K34" s="309"/>
      <c r="L34" s="59">
        <f t="shared" si="0"/>
        <v>0</v>
      </c>
      <c r="N34" s="346"/>
      <c r="O34" s="690"/>
      <c r="P34" s="690"/>
    </row>
    <row r="35" spans="2:16" x14ac:dyDescent="0.2">
      <c r="B35" s="595" t="s">
        <v>345</v>
      </c>
      <c r="C35" s="309"/>
      <c r="D35" s="309"/>
      <c r="E35" s="309"/>
      <c r="F35" s="59">
        <f t="shared" si="2"/>
        <v>0</v>
      </c>
      <c r="H35" s="43"/>
      <c r="I35" s="309"/>
      <c r="J35" s="309"/>
      <c r="K35" s="309"/>
      <c r="L35" s="59">
        <f t="shared" si="0"/>
        <v>0</v>
      </c>
      <c r="N35" s="346"/>
      <c r="O35" s="690"/>
      <c r="P35" s="690"/>
    </row>
    <row r="36" spans="2:16" x14ac:dyDescent="0.2">
      <c r="B36" s="595" t="s">
        <v>346</v>
      </c>
      <c r="C36" s="309"/>
      <c r="D36" s="309"/>
      <c r="E36" s="309"/>
      <c r="F36" s="59">
        <f t="shared" si="2"/>
        <v>0</v>
      </c>
      <c r="H36" s="43"/>
      <c r="I36" s="309"/>
      <c r="J36" s="309"/>
      <c r="K36" s="309"/>
      <c r="L36" s="59">
        <f t="shared" si="0"/>
        <v>0</v>
      </c>
      <c r="N36" s="346"/>
      <c r="O36" s="690"/>
      <c r="P36" s="690"/>
    </row>
    <row r="37" spans="2:16" x14ac:dyDescent="0.2">
      <c r="B37" s="598" t="s">
        <v>857</v>
      </c>
      <c r="C37" s="309"/>
      <c r="D37" s="309"/>
      <c r="E37" s="309"/>
      <c r="F37" s="59">
        <f t="shared" si="2"/>
        <v>0</v>
      </c>
      <c r="H37" s="43"/>
      <c r="I37" s="309"/>
      <c r="J37" s="309"/>
      <c r="K37" s="309"/>
      <c r="L37" s="59">
        <f t="shared" si="0"/>
        <v>0</v>
      </c>
      <c r="N37" s="625"/>
      <c r="O37" s="691"/>
      <c r="P37" s="690"/>
    </row>
    <row r="38" spans="2:16" x14ac:dyDescent="0.2">
      <c r="B38" s="596" t="s">
        <v>662</v>
      </c>
      <c r="C38" s="309"/>
      <c r="D38" s="309"/>
      <c r="E38" s="309"/>
      <c r="F38" s="59">
        <f t="shared" si="2"/>
        <v>0</v>
      </c>
      <c r="H38" s="129"/>
      <c r="I38" s="309"/>
      <c r="J38" s="309"/>
      <c r="K38" s="309"/>
      <c r="L38" s="62">
        <f t="shared" si="0"/>
        <v>0</v>
      </c>
      <c r="N38" s="625"/>
      <c r="O38" s="690"/>
      <c r="P38" s="690"/>
    </row>
    <row r="39" spans="2:16" x14ac:dyDescent="0.2">
      <c r="B39" s="597" t="s">
        <v>778</v>
      </c>
      <c r="C39" s="309"/>
      <c r="D39" s="309"/>
      <c r="E39" s="309"/>
      <c r="F39" s="62">
        <f t="shared" si="2"/>
        <v>0</v>
      </c>
      <c r="H39" s="9" t="s">
        <v>138</v>
      </c>
      <c r="I39" s="59">
        <f>SUM(I5:I38)</f>
        <v>0</v>
      </c>
      <c r="J39" s="59">
        <f>SUM(J5:J38)</f>
        <v>0</v>
      </c>
      <c r="K39" s="59">
        <f>SUM(K5:K38)</f>
        <v>0</v>
      </c>
      <c r="L39" s="59">
        <f>SUM(L5:L38)</f>
        <v>0</v>
      </c>
      <c r="N39" s="625"/>
      <c r="O39" s="690"/>
      <c r="P39" s="690"/>
    </row>
    <row r="40" spans="2:16" x14ac:dyDescent="0.2">
      <c r="B40" s="65" t="s">
        <v>388</v>
      </c>
      <c r="C40" s="128">
        <f>SUM(C31:C39)</f>
        <v>0</v>
      </c>
      <c r="D40" s="128">
        <f>SUM(D31:D39)</f>
        <v>0</v>
      </c>
      <c r="E40" s="128">
        <f>SUM(E31:E39)</f>
        <v>0</v>
      </c>
      <c r="F40" s="128">
        <f>SUM(F31:F39)</f>
        <v>0</v>
      </c>
      <c r="H40" t="s">
        <v>132</v>
      </c>
      <c r="I40" s="195" t="s">
        <v>437</v>
      </c>
      <c r="J40" s="128"/>
      <c r="K40" s="128"/>
      <c r="L40" s="59">
        <f>SUM(L34:L38)</f>
        <v>0</v>
      </c>
      <c r="N40" s="625"/>
      <c r="O40" s="690"/>
      <c r="P40" s="690"/>
    </row>
    <row r="41" spans="2:16" x14ac:dyDescent="0.2">
      <c r="B41" s="63" t="s">
        <v>137</v>
      </c>
      <c r="C41" s="62">
        <f>SUM(C5:C30,C40)</f>
        <v>0</v>
      </c>
      <c r="D41" s="62">
        <f>SUM(D5:D30,D40)</f>
        <v>0</v>
      </c>
      <c r="E41" s="62">
        <f>SUM(E5:E30,E40)</f>
        <v>0</v>
      </c>
      <c r="F41" s="62">
        <f>SUM(F5:F30,F40)</f>
        <v>0</v>
      </c>
      <c r="H41" t="s">
        <v>133</v>
      </c>
      <c r="I41" s="309"/>
      <c r="J41" s="128"/>
      <c r="K41" s="128"/>
      <c r="L41" s="59">
        <f>I41-J41+K41</f>
        <v>0</v>
      </c>
      <c r="M41" s="58"/>
      <c r="N41" s="625"/>
      <c r="O41" s="690"/>
      <c r="P41" s="690"/>
    </row>
    <row r="42" spans="2:16" x14ac:dyDescent="0.2">
      <c r="B42" t="s">
        <v>141</v>
      </c>
      <c r="C42" s="307"/>
      <c r="D42" s="281"/>
      <c r="E42" s="281"/>
      <c r="F42" s="281"/>
      <c r="G42" s="18"/>
      <c r="H42" t="s">
        <v>134</v>
      </c>
      <c r="I42" s="309"/>
      <c r="J42" s="128"/>
      <c r="K42" s="128"/>
      <c r="L42" s="59">
        <f>I42-J42+K42</f>
        <v>0</v>
      </c>
      <c r="N42" s="346"/>
      <c r="O42" s="690"/>
      <c r="P42" s="690"/>
    </row>
    <row r="43" spans="2:16" x14ac:dyDescent="0.2">
      <c r="B43" t="s">
        <v>142</v>
      </c>
      <c r="C43" s="308"/>
      <c r="D43" s="773"/>
      <c r="E43" s="774"/>
      <c r="F43" s="774"/>
      <c r="H43" t="s">
        <v>144</v>
      </c>
      <c r="I43" s="58">
        <f>SUM(F5:F30)</f>
        <v>0</v>
      </c>
      <c r="J43" s="58"/>
      <c r="K43" s="58"/>
      <c r="L43" s="59"/>
      <c r="N43" s="346"/>
      <c r="O43" s="691"/>
      <c r="P43" s="690"/>
    </row>
    <row r="44" spans="2:16" x14ac:dyDescent="0.2">
      <c r="B44" t="s">
        <v>143</v>
      </c>
      <c r="C44" s="309"/>
      <c r="D44" s="58"/>
      <c r="E44" s="58"/>
      <c r="F44" s="59"/>
      <c r="H44" t="s">
        <v>493</v>
      </c>
      <c r="I44" s="58">
        <f>SUM(L5:L30)</f>
        <v>0</v>
      </c>
      <c r="J44" s="58"/>
      <c r="K44" s="58"/>
      <c r="L44" s="59"/>
      <c r="N44" s="625"/>
      <c r="O44" s="690"/>
      <c r="P44" s="690"/>
    </row>
    <row r="45" spans="2:16" x14ac:dyDescent="0.2">
      <c r="B45" t="s">
        <v>257</v>
      </c>
      <c r="C45" s="58">
        <f>SUM(C31:C39)</f>
        <v>0</v>
      </c>
      <c r="D45" s="58"/>
      <c r="E45" s="58"/>
      <c r="F45" s="59"/>
      <c r="H45" s="9" t="s">
        <v>145</v>
      </c>
      <c r="I45" s="59">
        <f>SUM(F5:F30,L5:L30)</f>
        <v>0</v>
      </c>
      <c r="N45" s="625"/>
      <c r="O45" s="690"/>
      <c r="P45" s="690"/>
    </row>
    <row r="46" spans="2:16" x14ac:dyDescent="0.2">
      <c r="B46" s="4" t="s">
        <v>566</v>
      </c>
      <c r="C46" s="58">
        <f>SUM(I47,L40)</f>
        <v>0</v>
      </c>
      <c r="D46" s="350"/>
      <c r="E46" s="58" t="s">
        <v>777</v>
      </c>
      <c r="F46" s="59"/>
      <c r="H46" t="s">
        <v>146</v>
      </c>
      <c r="I46" s="58">
        <f>F40</f>
        <v>0</v>
      </c>
      <c r="N46" s="625"/>
      <c r="O46" s="690"/>
      <c r="P46" s="690"/>
    </row>
    <row r="47" spans="2:16" x14ac:dyDescent="0.2">
      <c r="B47" t="s">
        <v>148</v>
      </c>
      <c r="C47" s="58">
        <f>SUM(C46,L41:L42)</f>
        <v>0</v>
      </c>
      <c r="D47" s="58"/>
      <c r="E47" s="58"/>
      <c r="F47" s="59"/>
      <c r="H47" t="s">
        <v>147</v>
      </c>
      <c r="I47" s="58">
        <f>SUM(I45:I46,L31:L33)</f>
        <v>0</v>
      </c>
      <c r="N47" s="346"/>
      <c r="O47" s="690"/>
      <c r="P47" s="690"/>
    </row>
    <row r="48" spans="2:16" x14ac:dyDescent="0.2">
      <c r="N48" s="346"/>
      <c r="O48" s="690"/>
      <c r="P48" s="690"/>
    </row>
    <row r="49" spans="2:16" x14ac:dyDescent="0.2">
      <c r="B49" s="76" t="s">
        <v>168</v>
      </c>
      <c r="C49" s="260" t="s">
        <v>158</v>
      </c>
      <c r="D49" s="769" t="s">
        <v>155</v>
      </c>
      <c r="E49" s="770"/>
      <c r="F49" s="74" t="s">
        <v>156</v>
      </c>
      <c r="H49" s="32"/>
      <c r="I49" s="24"/>
      <c r="J49" s="21"/>
      <c r="L49" s="265" t="s">
        <v>323</v>
      </c>
      <c r="N49" s="346"/>
      <c r="O49" s="690"/>
      <c r="P49" s="690"/>
    </row>
    <row r="50" spans="2:16" x14ac:dyDescent="0.2">
      <c r="B50" s="75" t="s">
        <v>151</v>
      </c>
      <c r="C50" s="261" t="s">
        <v>159</v>
      </c>
      <c r="D50" s="72" t="s">
        <v>54</v>
      </c>
      <c r="E50" s="73" t="s">
        <v>55</v>
      </c>
      <c r="F50" s="75" t="s">
        <v>157</v>
      </c>
      <c r="H50" s="771" t="s">
        <v>567</v>
      </c>
      <c r="I50" s="772"/>
      <c r="J50" s="15"/>
      <c r="L50" s="266" t="s">
        <v>324</v>
      </c>
      <c r="N50" s="346"/>
      <c r="O50" s="690"/>
      <c r="P50" s="690"/>
    </row>
    <row r="51" spans="2:16" x14ac:dyDescent="0.2">
      <c r="B51" s="153"/>
      <c r="C51" s="11"/>
      <c r="D51" s="11"/>
      <c r="E51" s="11"/>
      <c r="F51" s="154"/>
      <c r="H51" s="153"/>
      <c r="I51" s="196"/>
      <c r="J51" s="21"/>
      <c r="L51" s="262"/>
      <c r="N51" s="346"/>
      <c r="O51" s="690"/>
      <c r="P51" s="690"/>
    </row>
    <row r="52" spans="2:16" x14ac:dyDescent="0.2">
      <c r="B52" s="29" t="s">
        <v>153</v>
      </c>
      <c r="C52" s="313"/>
      <c r="D52" s="313"/>
      <c r="E52" s="313"/>
      <c r="F52" s="318">
        <f>(C52+D52)-E52</f>
        <v>0</v>
      </c>
      <c r="H52" s="77" t="str">
        <f>B2</f>
        <v>Fresh Apples</v>
      </c>
      <c r="I52" s="30" t="e">
        <f>C52/F2</f>
        <v>#DIV/0!</v>
      </c>
      <c r="J52" s="78" t="s">
        <v>180</v>
      </c>
      <c r="L52" s="263">
        <f>$C52*42</f>
        <v>0</v>
      </c>
      <c r="N52" s="346"/>
      <c r="O52" s="690"/>
      <c r="P52" s="690"/>
    </row>
    <row r="53" spans="2:16" x14ac:dyDescent="0.2">
      <c r="B53" s="29" t="s">
        <v>154</v>
      </c>
      <c r="C53" s="313"/>
      <c r="D53" s="313"/>
      <c r="E53" s="313"/>
      <c r="F53" s="318">
        <f>(C53+D53)-E53</f>
        <v>0</v>
      </c>
      <c r="H53" s="77" t="str">
        <f>B3</f>
        <v>Peeler Apples</v>
      </c>
      <c r="I53" s="30" t="e">
        <f>C53/F3</f>
        <v>#DIV/0!</v>
      </c>
      <c r="J53" s="78" t="s">
        <v>180</v>
      </c>
      <c r="L53" s="263">
        <f>$C53*42</f>
        <v>0</v>
      </c>
      <c r="N53" s="625"/>
      <c r="O53" s="691"/>
      <c r="P53" s="690"/>
    </row>
    <row r="54" spans="2:16" x14ac:dyDescent="0.2">
      <c r="B54" s="29" t="s">
        <v>618</v>
      </c>
      <c r="C54" s="313"/>
      <c r="D54" s="313"/>
      <c r="E54" s="313"/>
      <c r="F54" s="318">
        <f>(C54+D54)-E54</f>
        <v>0</v>
      </c>
      <c r="H54" s="77" t="str">
        <f>B4</f>
        <v>Cider / Juice Apples</v>
      </c>
      <c r="I54" s="30" t="e">
        <f>C54/F4</f>
        <v>#DIV/0!</v>
      </c>
      <c r="J54" s="78" t="s">
        <v>180</v>
      </c>
      <c r="L54" s="263">
        <f>$C54*42</f>
        <v>0</v>
      </c>
      <c r="N54" s="625"/>
      <c r="O54" s="690"/>
      <c r="P54" s="690"/>
    </row>
    <row r="55" spans="2:16" x14ac:dyDescent="0.2">
      <c r="B55" s="200" t="s">
        <v>152</v>
      </c>
      <c r="C55" s="28">
        <f>SUM(C52:C54)</f>
        <v>0</v>
      </c>
      <c r="D55" s="317">
        <f>SUM(D52:D54)</f>
        <v>0</v>
      </c>
      <c r="E55" s="317">
        <f>SUM(E52:E54)</f>
        <v>0</v>
      </c>
      <c r="F55" s="317">
        <f>SUM(F52:F54)</f>
        <v>0</v>
      </c>
      <c r="H55" s="34" t="s">
        <v>152</v>
      </c>
      <c r="I55" s="28" t="e">
        <f>C55/F5</f>
        <v>#DIV/0!</v>
      </c>
      <c r="J55" s="79" t="s">
        <v>180</v>
      </c>
      <c r="L55" s="263">
        <f>SUM(L52:L54)</f>
        <v>0</v>
      </c>
      <c r="M55" s="7">
        <f>SUM(L52:L54)/(20*42)</f>
        <v>0</v>
      </c>
      <c r="N55" s="625"/>
      <c r="O55" s="690"/>
      <c r="P55" s="690"/>
    </row>
    <row r="56" spans="2:16" x14ac:dyDescent="0.2">
      <c r="B56" s="29" t="s">
        <v>160</v>
      </c>
      <c r="C56" s="313"/>
      <c r="D56" s="310"/>
      <c r="E56" s="310"/>
      <c r="F56" s="13"/>
      <c r="H56" s="77" t="str">
        <f>B6</f>
        <v>Tart Cherries</v>
      </c>
      <c r="I56" s="80" t="e">
        <f>(C56/2000)/F6</f>
        <v>#DIV/0!</v>
      </c>
      <c r="J56" s="78" t="s">
        <v>181</v>
      </c>
      <c r="L56" s="263">
        <f>C56</f>
        <v>0</v>
      </c>
      <c r="N56" s="625"/>
      <c r="O56" s="690"/>
      <c r="P56" s="690"/>
    </row>
    <row r="57" spans="2:16" x14ac:dyDescent="0.2">
      <c r="B57" s="12" t="s">
        <v>351</v>
      </c>
      <c r="C57" s="313"/>
      <c r="D57" s="310"/>
      <c r="E57" s="310"/>
      <c r="F57" s="13"/>
      <c r="H57" s="77" t="s">
        <v>351</v>
      </c>
      <c r="I57" s="80" t="e">
        <f>(C57/2000)/F7</f>
        <v>#DIV/0!</v>
      </c>
      <c r="J57" s="78" t="s">
        <v>182</v>
      </c>
      <c r="L57" s="263">
        <f>C57</f>
        <v>0</v>
      </c>
      <c r="N57" s="625"/>
      <c r="O57" s="690"/>
      <c r="P57" s="690"/>
    </row>
    <row r="58" spans="2:16" x14ac:dyDescent="0.2">
      <c r="B58" s="12" t="s">
        <v>352</v>
      </c>
      <c r="C58" s="313"/>
      <c r="D58" s="310"/>
      <c r="E58" s="310"/>
      <c r="F58" s="13"/>
      <c r="H58" s="77" t="s">
        <v>352</v>
      </c>
      <c r="I58" s="80" t="e">
        <f>(C58/2000)/F8</f>
        <v>#DIV/0!</v>
      </c>
      <c r="J58" s="78" t="s">
        <v>182</v>
      </c>
      <c r="L58" s="263">
        <f>C58</f>
        <v>0</v>
      </c>
      <c r="N58" s="346"/>
      <c r="O58" s="690"/>
      <c r="P58" s="690"/>
    </row>
    <row r="59" spans="2:16" x14ac:dyDescent="0.2">
      <c r="B59" s="12" t="s">
        <v>334</v>
      </c>
      <c r="C59" s="313"/>
      <c r="D59" s="308">
        <v>0</v>
      </c>
      <c r="E59" s="308">
        <v>0</v>
      </c>
      <c r="F59" s="318">
        <f>(C59+D59)-E59</f>
        <v>0</v>
      </c>
      <c r="H59" s="77" t="str">
        <f>B9</f>
        <v>Pears:     fresh</v>
      </c>
      <c r="I59" s="80" t="e">
        <f>C59/F9</f>
        <v>#DIV/0!</v>
      </c>
      <c r="J59" s="78" t="s">
        <v>390</v>
      </c>
      <c r="L59" s="263">
        <f>C59*50</f>
        <v>0</v>
      </c>
      <c r="M59" t="s">
        <v>333</v>
      </c>
      <c r="N59" s="346"/>
      <c r="O59" s="690"/>
      <c r="P59" s="690"/>
    </row>
    <row r="60" spans="2:16" x14ac:dyDescent="0.2">
      <c r="B60" s="12" t="s">
        <v>161</v>
      </c>
      <c r="C60" s="313"/>
      <c r="D60" s="310"/>
      <c r="E60" s="310"/>
      <c r="F60" s="13"/>
      <c r="H60" s="197" t="s">
        <v>389</v>
      </c>
      <c r="I60" s="30" t="e">
        <f>(C60/60)/F10</f>
        <v>#DIV/0!</v>
      </c>
      <c r="J60" s="78" t="s">
        <v>180</v>
      </c>
      <c r="L60" s="263">
        <f>C60</f>
        <v>0</v>
      </c>
      <c r="N60" s="346"/>
      <c r="O60" s="690"/>
      <c r="P60" s="690"/>
    </row>
    <row r="61" spans="2:16" x14ac:dyDescent="0.2">
      <c r="B61" s="12" t="s">
        <v>162</v>
      </c>
      <c r="C61" s="313"/>
      <c r="D61" s="310"/>
      <c r="E61" s="310"/>
      <c r="F61" s="13"/>
      <c r="H61" s="77" t="str">
        <f>B11</f>
        <v>Fresh Peaches</v>
      </c>
      <c r="I61" s="30" t="e">
        <f>C61/F11</f>
        <v>#DIV/0!</v>
      </c>
      <c r="J61" s="78" t="s">
        <v>338</v>
      </c>
      <c r="L61" s="263">
        <f>C61*48</f>
        <v>0</v>
      </c>
      <c r="M61" t="s">
        <v>444</v>
      </c>
      <c r="N61" s="625"/>
      <c r="O61" s="691"/>
      <c r="P61" s="690"/>
    </row>
    <row r="62" spans="2:16" x14ac:dyDescent="0.2">
      <c r="B62" s="12" t="s">
        <v>163</v>
      </c>
      <c r="C62" s="313"/>
      <c r="D62" s="310"/>
      <c r="E62" s="310"/>
      <c r="F62" s="13"/>
      <c r="H62" s="77" t="str">
        <f>B12</f>
        <v>Process Peaches</v>
      </c>
      <c r="I62" s="80" t="e">
        <f>(C62/2000)/F12</f>
        <v>#DIV/0!</v>
      </c>
      <c r="J62" s="78" t="s">
        <v>182</v>
      </c>
      <c r="L62" s="263">
        <f>C62</f>
        <v>0</v>
      </c>
      <c r="M62" t="s">
        <v>273</v>
      </c>
      <c r="N62" s="625"/>
      <c r="O62" s="690"/>
      <c r="P62" s="690"/>
    </row>
    <row r="63" spans="2:16" x14ac:dyDescent="0.2">
      <c r="B63" s="12" t="s">
        <v>447</v>
      </c>
      <c r="C63" s="313"/>
      <c r="D63" s="44"/>
      <c r="E63" s="44"/>
      <c r="F63" s="13"/>
      <c r="H63" s="77" t="str">
        <f>B13</f>
        <v>Plums / Prunes: Fresh</v>
      </c>
      <c r="I63" s="30" t="e">
        <f>C63/F13</f>
        <v>#DIV/0!</v>
      </c>
      <c r="J63" s="78" t="s">
        <v>180</v>
      </c>
      <c r="L63" s="263">
        <f>C63*56</f>
        <v>0</v>
      </c>
      <c r="M63" t="s">
        <v>539</v>
      </c>
      <c r="N63" s="625"/>
      <c r="O63" s="690"/>
      <c r="P63" s="690"/>
    </row>
    <row r="64" spans="2:16" x14ac:dyDescent="0.2">
      <c r="B64" s="12" t="s">
        <v>446</v>
      </c>
      <c r="C64" s="313"/>
      <c r="D64" s="44"/>
      <c r="E64" s="44"/>
      <c r="F64" s="13"/>
      <c r="H64" s="77" t="s">
        <v>448</v>
      </c>
      <c r="I64" s="30" t="e">
        <f>C64/F14</f>
        <v>#DIV/0!</v>
      </c>
      <c r="J64" s="78" t="s">
        <v>182</v>
      </c>
      <c r="L64" s="263">
        <f>C64</f>
        <v>0</v>
      </c>
      <c r="N64" s="625"/>
      <c r="O64" s="690"/>
      <c r="P64" s="690"/>
    </row>
    <row r="65" spans="2:16" x14ac:dyDescent="0.2">
      <c r="B65" s="29" t="s">
        <v>501</v>
      </c>
      <c r="C65" s="313"/>
      <c r="D65" s="44"/>
      <c r="E65" s="44"/>
      <c r="F65" s="13"/>
      <c r="H65" s="77" t="str">
        <f>B15</f>
        <v>Apricots</v>
      </c>
      <c r="I65" s="30" t="e">
        <f>(C65/50)/F15</f>
        <v>#DIV/0!</v>
      </c>
      <c r="J65" s="13" t="s">
        <v>180</v>
      </c>
      <c r="L65" s="263">
        <f>C65</f>
        <v>0</v>
      </c>
      <c r="M65" t="s">
        <v>440</v>
      </c>
      <c r="N65" s="625"/>
      <c r="O65" s="690"/>
      <c r="P65" s="690"/>
    </row>
    <row r="66" spans="2:16" x14ac:dyDescent="0.2">
      <c r="B66" s="214" t="s">
        <v>616</v>
      </c>
      <c r="C66" s="313"/>
      <c r="D66" s="308">
        <v>0</v>
      </c>
      <c r="E66" s="308">
        <v>0</v>
      </c>
      <c r="F66" s="318">
        <f>(C66+D66)-E66</f>
        <v>0</v>
      </c>
      <c r="H66" s="214" t="s">
        <v>616</v>
      </c>
      <c r="I66" s="66" t="e">
        <f>C66/F16</f>
        <v>#DIV/0!</v>
      </c>
      <c r="J66" s="229" t="s">
        <v>617</v>
      </c>
      <c r="L66" s="295">
        <f>C66</f>
        <v>0</v>
      </c>
      <c r="N66" s="346" t="s">
        <v>912</v>
      </c>
      <c r="O66" s="690" t="s">
        <v>913</v>
      </c>
      <c r="P66" s="690"/>
    </row>
    <row r="67" spans="2:16" x14ac:dyDescent="0.2">
      <c r="B67" s="29" t="s">
        <v>554</v>
      </c>
      <c r="C67" s="313"/>
      <c r="D67" s="44"/>
      <c r="E67" s="44"/>
      <c r="F67" s="13"/>
      <c r="H67" s="77" t="s">
        <v>554</v>
      </c>
      <c r="I67" s="80" t="e">
        <f>C67/F17</f>
        <v>#DIV/0!</v>
      </c>
      <c r="J67" s="78" t="s">
        <v>182</v>
      </c>
      <c r="L67" s="263">
        <f>C67*2000</f>
        <v>0</v>
      </c>
      <c r="N67" s="346"/>
      <c r="O67" s="691"/>
      <c r="P67" s="690"/>
    </row>
    <row r="68" spans="2:16" x14ac:dyDescent="0.2">
      <c r="B68" s="29" t="s">
        <v>555</v>
      </c>
      <c r="C68" s="313"/>
      <c r="D68" s="44"/>
      <c r="E68" s="44"/>
      <c r="F68" s="13"/>
      <c r="H68" s="77" t="s">
        <v>555</v>
      </c>
      <c r="I68" s="80" t="e">
        <f>C68/F18</f>
        <v>#DIV/0!</v>
      </c>
      <c r="J68" s="78" t="s">
        <v>182</v>
      </c>
      <c r="L68" s="263">
        <f>C68*2000</f>
        <v>0</v>
      </c>
      <c r="N68" s="625"/>
      <c r="O68" s="690"/>
      <c r="P68" s="690"/>
    </row>
    <row r="69" spans="2:16" x14ac:dyDescent="0.2">
      <c r="B69" s="29" t="s">
        <v>556</v>
      </c>
      <c r="C69" s="313"/>
      <c r="D69" s="44"/>
      <c r="E69" s="44"/>
      <c r="F69" s="13"/>
      <c r="H69" s="77" t="s">
        <v>556</v>
      </c>
      <c r="I69" s="80" t="e">
        <f>C69/F19</f>
        <v>#DIV/0!</v>
      </c>
      <c r="J69" s="78" t="s">
        <v>182</v>
      </c>
      <c r="L69" s="263">
        <f>C69*2000</f>
        <v>0</v>
      </c>
      <c r="N69" s="625"/>
      <c r="O69" s="690"/>
      <c r="P69" s="690"/>
    </row>
    <row r="70" spans="2:16" x14ac:dyDescent="0.2">
      <c r="B70" s="29" t="s">
        <v>166</v>
      </c>
      <c r="C70" s="313"/>
      <c r="D70" s="44"/>
      <c r="E70" s="44"/>
      <c r="F70" s="13"/>
      <c r="H70" s="77" t="str">
        <f>B20</f>
        <v>Strawberries:  fresh</v>
      </c>
      <c r="I70" s="30" t="e">
        <f t="shared" ref="I70:I89" si="4">C70/F20</f>
        <v>#DIV/0!</v>
      </c>
      <c r="J70" s="13" t="s">
        <v>184</v>
      </c>
      <c r="L70" s="263">
        <f>C70*1.5</f>
        <v>0</v>
      </c>
      <c r="M70" t="s">
        <v>911</v>
      </c>
      <c r="N70" s="625"/>
      <c r="O70" s="690"/>
      <c r="P70" s="690"/>
    </row>
    <row r="71" spans="2:16" x14ac:dyDescent="0.2">
      <c r="B71" s="29" t="s">
        <v>611</v>
      </c>
      <c r="C71" s="313"/>
      <c r="D71" s="44"/>
      <c r="E71" s="44"/>
      <c r="F71" s="13"/>
      <c r="H71" s="77" t="s">
        <v>611</v>
      </c>
      <c r="I71" s="30" t="e">
        <f t="shared" si="4"/>
        <v>#DIV/0!</v>
      </c>
      <c r="J71" s="13" t="s">
        <v>325</v>
      </c>
      <c r="L71" s="263">
        <f t="shared" ref="L71:L80" si="5">C71</f>
        <v>0</v>
      </c>
      <c r="N71" s="346"/>
      <c r="O71" s="690"/>
      <c r="P71" s="690"/>
    </row>
    <row r="72" spans="2:16" x14ac:dyDescent="0.2">
      <c r="B72" s="29" t="s">
        <v>621</v>
      </c>
      <c r="C72" s="313"/>
      <c r="D72" s="44"/>
      <c r="E72" s="44"/>
      <c r="F72" s="13"/>
      <c r="H72" s="77" t="s">
        <v>621</v>
      </c>
      <c r="I72" s="30" t="e">
        <f t="shared" si="4"/>
        <v>#DIV/0!</v>
      </c>
      <c r="J72" s="78" t="s">
        <v>182</v>
      </c>
      <c r="L72" s="263">
        <f>C72*2000</f>
        <v>0</v>
      </c>
      <c r="N72" s="346"/>
      <c r="O72" s="690"/>
      <c r="P72" s="690"/>
    </row>
    <row r="73" spans="2:16" x14ac:dyDescent="0.2">
      <c r="B73" s="29" t="s">
        <v>164</v>
      </c>
      <c r="C73" s="313"/>
      <c r="D73" s="44"/>
      <c r="E73" s="44"/>
      <c r="F73" s="13"/>
      <c r="H73" s="77" t="str">
        <f>B23</f>
        <v>Blueberries:    fresh</v>
      </c>
      <c r="I73" s="30" t="e">
        <f t="shared" si="4"/>
        <v>#DIV/0!</v>
      </c>
      <c r="J73" s="78" t="s">
        <v>183</v>
      </c>
      <c r="L73" s="263">
        <f t="shared" si="5"/>
        <v>0</v>
      </c>
      <c r="M73" s="8" t="s">
        <v>721</v>
      </c>
      <c r="N73" s="346"/>
      <c r="O73" s="690"/>
      <c r="P73" s="690"/>
    </row>
    <row r="74" spans="2:16" x14ac:dyDescent="0.2">
      <c r="B74" s="29" t="s">
        <v>614</v>
      </c>
      <c r="C74" s="313"/>
      <c r="D74" s="44"/>
      <c r="E74" s="44"/>
      <c r="F74" s="13"/>
      <c r="H74" s="77" t="s">
        <v>614</v>
      </c>
      <c r="I74" s="30" t="e">
        <f t="shared" si="4"/>
        <v>#DIV/0!</v>
      </c>
      <c r="J74" s="13" t="s">
        <v>325</v>
      </c>
      <c r="L74" s="263">
        <f t="shared" si="5"/>
        <v>0</v>
      </c>
      <c r="M74" s="8"/>
      <c r="N74" s="346"/>
      <c r="O74" s="690"/>
      <c r="P74" s="690"/>
    </row>
    <row r="75" spans="2:16" x14ac:dyDescent="0.2">
      <c r="B75" s="29" t="s">
        <v>165</v>
      </c>
      <c r="C75" s="313"/>
      <c r="D75" s="44"/>
      <c r="E75" s="44"/>
      <c r="F75" s="13"/>
      <c r="H75" s="77" t="str">
        <f>B25</f>
        <v>Brambles:      fresh</v>
      </c>
      <c r="I75" s="30" t="e">
        <f t="shared" si="4"/>
        <v>#DIV/0!</v>
      </c>
      <c r="J75" s="13" t="s">
        <v>183</v>
      </c>
      <c r="L75" s="263">
        <f>C75*0.5</f>
        <v>0</v>
      </c>
      <c r="M75" s="8" t="s">
        <v>445</v>
      </c>
      <c r="N75" s="346"/>
      <c r="O75" s="690"/>
      <c r="P75" s="690"/>
    </row>
    <row r="76" spans="2:16" x14ac:dyDescent="0.2">
      <c r="B76" s="29" t="s">
        <v>612</v>
      </c>
      <c r="C76" s="313"/>
      <c r="D76" s="44"/>
      <c r="E76" s="44"/>
      <c r="F76" s="13"/>
      <c r="H76" s="77" t="s">
        <v>612</v>
      </c>
      <c r="I76" s="30" t="e">
        <f t="shared" si="4"/>
        <v>#DIV/0!</v>
      </c>
      <c r="J76" s="13" t="s">
        <v>325</v>
      </c>
      <c r="L76" s="263">
        <f t="shared" si="5"/>
        <v>0</v>
      </c>
      <c r="N76" s="346"/>
      <c r="O76" s="690"/>
      <c r="P76" s="690"/>
    </row>
    <row r="77" spans="2:16" x14ac:dyDescent="0.2">
      <c r="B77" s="29" t="s">
        <v>613</v>
      </c>
      <c r="C77" s="313"/>
      <c r="D77" s="44"/>
      <c r="E77" s="44"/>
      <c r="F77" s="13"/>
      <c r="H77" s="77" t="str">
        <f>B27</f>
        <v>Ribes:           fresh</v>
      </c>
      <c r="I77" s="30" t="e">
        <f t="shared" si="4"/>
        <v>#DIV/0!</v>
      </c>
      <c r="J77" s="13" t="s">
        <v>392</v>
      </c>
      <c r="L77" s="263">
        <f>C77*0.5</f>
        <v>0</v>
      </c>
      <c r="M77" s="8" t="s">
        <v>445</v>
      </c>
      <c r="N77" s="625"/>
      <c r="O77" s="691"/>
      <c r="P77" s="690"/>
    </row>
    <row r="78" spans="2:16" x14ac:dyDescent="0.2">
      <c r="B78" s="29" t="s">
        <v>391</v>
      </c>
      <c r="C78" s="313"/>
      <c r="D78" s="44"/>
      <c r="E78" s="44"/>
      <c r="F78" s="13"/>
      <c r="H78" s="77" t="s">
        <v>391</v>
      </c>
      <c r="I78" s="30" t="e">
        <f t="shared" si="4"/>
        <v>#DIV/0!</v>
      </c>
      <c r="J78" s="13" t="s">
        <v>325</v>
      </c>
      <c r="L78" s="263">
        <f t="shared" si="5"/>
        <v>0</v>
      </c>
      <c r="N78" s="625"/>
      <c r="O78" s="690"/>
      <c r="P78" s="690"/>
    </row>
    <row r="79" spans="2:16" x14ac:dyDescent="0.2">
      <c r="B79" s="29" t="s">
        <v>610</v>
      </c>
      <c r="C79" s="313"/>
      <c r="D79" s="44"/>
      <c r="E79" s="44"/>
      <c r="F79" s="13"/>
      <c r="H79" s="77" t="str">
        <f>B29</f>
        <v>Other berries: fresh</v>
      </c>
      <c r="I79" s="30" t="e">
        <f t="shared" si="4"/>
        <v>#DIV/0!</v>
      </c>
      <c r="J79" s="13" t="s">
        <v>325</v>
      </c>
      <c r="L79" s="263">
        <f t="shared" si="5"/>
        <v>0</v>
      </c>
      <c r="N79" s="625"/>
      <c r="O79" s="690"/>
      <c r="P79" s="690"/>
    </row>
    <row r="80" spans="2:16" x14ac:dyDescent="0.2">
      <c r="B80" s="81" t="s">
        <v>609</v>
      </c>
      <c r="C80" s="313"/>
      <c r="D80" s="129"/>
      <c r="E80" s="129"/>
      <c r="F80" s="15"/>
      <c r="H80" s="227" t="str">
        <f>B30</f>
        <v>Other berries: process</v>
      </c>
      <c r="I80" s="66" t="e">
        <f t="shared" si="4"/>
        <v>#DIV/0!</v>
      </c>
      <c r="J80" s="15" t="s">
        <v>325</v>
      </c>
      <c r="L80" s="295">
        <f t="shared" si="5"/>
        <v>0</v>
      </c>
      <c r="N80" s="625"/>
      <c r="O80" s="690"/>
      <c r="P80" s="690"/>
    </row>
    <row r="81" spans="2:16" x14ac:dyDescent="0.2">
      <c r="B81" s="29" t="str">
        <f>B31</f>
        <v>Other Crops:  Pumpkins</v>
      </c>
      <c r="C81" s="309"/>
      <c r="D81" s="44"/>
      <c r="E81" s="44"/>
      <c r="F81" s="13"/>
      <c r="H81" s="77" t="str">
        <f>B81</f>
        <v>Other Crops:  Pumpkins</v>
      </c>
      <c r="I81" s="30" t="e">
        <f t="shared" si="4"/>
        <v>#DIV/0!</v>
      </c>
      <c r="J81" s="13" t="s">
        <v>776</v>
      </c>
      <c r="L81" s="263">
        <f>C81*2000</f>
        <v>0</v>
      </c>
      <c r="N81" s="625"/>
      <c r="O81" s="690"/>
      <c r="P81" s="690"/>
    </row>
    <row r="82" spans="2:16" x14ac:dyDescent="0.2">
      <c r="B82" s="29" t="str">
        <f t="shared" ref="B82:B89" si="6">B32</f>
        <v>Corn</v>
      </c>
      <c r="C82" s="313"/>
      <c r="D82" s="308"/>
      <c r="E82" s="308"/>
      <c r="F82" s="199">
        <f>(C82+D82)-E82</f>
        <v>0</v>
      </c>
      <c r="H82" s="151" t="str">
        <f>B82</f>
        <v>Corn</v>
      </c>
      <c r="I82" s="30" t="e">
        <f t="shared" si="4"/>
        <v>#DIV/0!</v>
      </c>
      <c r="J82" s="13" t="s">
        <v>338</v>
      </c>
      <c r="L82" s="263">
        <f>C82*60</f>
        <v>0</v>
      </c>
      <c r="N82" s="346"/>
      <c r="O82" s="690"/>
      <c r="P82" s="690"/>
    </row>
    <row r="83" spans="2:16" x14ac:dyDescent="0.2">
      <c r="B83" s="29" t="str">
        <f t="shared" si="6"/>
        <v>Soybeans</v>
      </c>
      <c r="C83" s="313"/>
      <c r="D83" s="308"/>
      <c r="E83" s="308"/>
      <c r="F83" s="199">
        <f>(C83+D83)-E83</f>
        <v>0</v>
      </c>
      <c r="H83" s="151" t="str">
        <f>B83</f>
        <v>Soybeans</v>
      </c>
      <c r="I83" s="30" t="e">
        <f t="shared" si="4"/>
        <v>#DIV/0!</v>
      </c>
      <c r="J83" s="13" t="s">
        <v>338</v>
      </c>
      <c r="L83" s="263">
        <f>C83*45</f>
        <v>0</v>
      </c>
      <c r="N83" s="346"/>
      <c r="O83" s="690"/>
      <c r="P83" s="690"/>
    </row>
    <row r="84" spans="2:16" x14ac:dyDescent="0.2">
      <c r="B84" s="29" t="str">
        <f t="shared" si="6"/>
        <v>Onions</v>
      </c>
      <c r="C84" s="313"/>
      <c r="D84" s="308"/>
      <c r="E84" s="308"/>
      <c r="F84" s="199">
        <f>(C84+D84)-E84</f>
        <v>0</v>
      </c>
      <c r="H84" s="151" t="str">
        <f>B84</f>
        <v>Onions</v>
      </c>
      <c r="I84" s="30" t="e">
        <f t="shared" si="4"/>
        <v>#DIV/0!</v>
      </c>
      <c r="J84" s="13" t="s">
        <v>338</v>
      </c>
      <c r="L84" s="263">
        <f>C84*60</f>
        <v>0</v>
      </c>
      <c r="N84" s="346"/>
      <c r="O84" s="690"/>
      <c r="P84" s="690"/>
    </row>
    <row r="85" spans="2:16" x14ac:dyDescent="0.2">
      <c r="B85" s="29" t="str">
        <f t="shared" si="6"/>
        <v>Cabbage</v>
      </c>
      <c r="C85" s="313"/>
      <c r="D85" s="308"/>
      <c r="E85" s="308"/>
      <c r="F85" s="199">
        <f>(C85+D85)-E85</f>
        <v>0</v>
      </c>
      <c r="H85" s="151" t="str">
        <f>B85</f>
        <v>Cabbage</v>
      </c>
      <c r="I85" s="30" t="e">
        <f t="shared" si="4"/>
        <v>#DIV/0!</v>
      </c>
      <c r="J85" s="13" t="s">
        <v>776</v>
      </c>
      <c r="L85" s="263">
        <f>C85*2000</f>
        <v>0</v>
      </c>
      <c r="N85" s="625"/>
      <c r="O85" s="691"/>
      <c r="P85" s="690"/>
    </row>
    <row r="86" spans="2:16" x14ac:dyDescent="0.2">
      <c r="B86" s="29" t="str">
        <f t="shared" si="6"/>
        <v>Snap Beans</v>
      </c>
      <c r="C86" s="313"/>
      <c r="D86" s="44"/>
      <c r="E86" s="44"/>
      <c r="F86" s="13"/>
      <c r="H86" s="151" t="s">
        <v>387</v>
      </c>
      <c r="I86" s="30" t="e">
        <f t="shared" si="4"/>
        <v>#DIV/0!</v>
      </c>
      <c r="J86" s="13" t="s">
        <v>776</v>
      </c>
      <c r="L86" s="263">
        <f>C86*2000</f>
        <v>0</v>
      </c>
      <c r="N86" s="625"/>
      <c r="O86" s="690"/>
      <c r="P86" s="690"/>
    </row>
    <row r="87" spans="2:16" x14ac:dyDescent="0.2">
      <c r="B87" s="29" t="str">
        <f t="shared" si="6"/>
        <v>Oats,Buckwheat,Rye</v>
      </c>
      <c r="C87" s="313"/>
      <c r="D87" s="308"/>
      <c r="E87" s="308"/>
      <c r="F87" s="199">
        <f>(C87+D87)-E87</f>
        <v>0</v>
      </c>
      <c r="H87" s="198" t="str">
        <f>B87</f>
        <v>Oats,Buckwheat,Rye</v>
      </c>
      <c r="I87" s="351" t="e">
        <f>C87/F37</f>
        <v>#DIV/0!</v>
      </c>
      <c r="J87" s="13" t="s">
        <v>338</v>
      </c>
      <c r="L87" s="352">
        <f>C87*32</f>
        <v>0</v>
      </c>
      <c r="N87" s="625"/>
      <c r="O87" s="690"/>
      <c r="P87" s="690"/>
    </row>
    <row r="88" spans="2:16" x14ac:dyDescent="0.2">
      <c r="B88" s="29" t="str">
        <f t="shared" si="6"/>
        <v>Peas</v>
      </c>
      <c r="C88" s="313"/>
      <c r="D88" s="308"/>
      <c r="E88" s="308"/>
      <c r="F88" s="199">
        <f>(C88+D88)-E88</f>
        <v>0</v>
      </c>
      <c r="H88" s="198" t="str">
        <f>B88</f>
        <v>Peas</v>
      </c>
      <c r="I88" s="351" t="e">
        <f>C88/F38</f>
        <v>#DIV/0!</v>
      </c>
      <c r="J88" s="13" t="s">
        <v>776</v>
      </c>
      <c r="L88" s="263">
        <f>C88*2000</f>
        <v>0</v>
      </c>
      <c r="N88" s="625"/>
      <c r="O88" s="690"/>
      <c r="P88" s="690"/>
    </row>
    <row r="89" spans="2:16" x14ac:dyDescent="0.2">
      <c r="B89" s="29" t="str">
        <f t="shared" si="6"/>
        <v>Clover hay + seed</v>
      </c>
      <c r="C89" s="313"/>
      <c r="D89" s="308"/>
      <c r="E89" s="308"/>
      <c r="F89" s="199">
        <f>(C89+D89)-E89</f>
        <v>0</v>
      </c>
      <c r="H89" s="185" t="str">
        <f>B89</f>
        <v>Clover hay + seed</v>
      </c>
      <c r="I89" s="80" t="e">
        <f t="shared" si="4"/>
        <v>#DIV/0!</v>
      </c>
      <c r="J89" s="13" t="s">
        <v>776</v>
      </c>
      <c r="L89" s="263">
        <f>C89*2000</f>
        <v>0</v>
      </c>
      <c r="M89" s="651">
        <f>L55+L59+L60+L66</f>
        <v>0</v>
      </c>
      <c r="N89" s="95" t="s">
        <v>860</v>
      </c>
      <c r="O89" s="293"/>
      <c r="P89" s="293"/>
    </row>
    <row r="90" spans="2:16" x14ac:dyDescent="0.2">
      <c r="B90" s="201"/>
      <c r="C90" s="105"/>
      <c r="D90" s="129"/>
      <c r="E90" s="129"/>
      <c r="F90" s="15"/>
      <c r="H90" s="151"/>
      <c r="I90" s="30"/>
      <c r="J90" s="13"/>
      <c r="L90" s="263"/>
      <c r="M90" s="652">
        <f>SUM(L56:L58,L61:L65)</f>
        <v>0</v>
      </c>
      <c r="N90" s="96" t="s">
        <v>861</v>
      </c>
    </row>
    <row r="91" spans="2:16" ht="13.5" thickBot="1" x14ac:dyDescent="0.25">
      <c r="H91" s="29"/>
      <c r="I91" s="30"/>
      <c r="J91" s="13"/>
      <c r="K91" t="s">
        <v>568</v>
      </c>
      <c r="L91" s="263"/>
      <c r="M91" s="653">
        <f>SUM(L67:L80)</f>
        <v>0</v>
      </c>
      <c r="N91" s="96" t="s">
        <v>862</v>
      </c>
    </row>
    <row r="92" spans="2:16" ht="13.5" thickTop="1" x14ac:dyDescent="0.2">
      <c r="H92" s="81"/>
      <c r="I92" s="61"/>
      <c r="J92" s="15"/>
      <c r="K92" t="s">
        <v>569</v>
      </c>
      <c r="L92" s="264">
        <f>SUM(L52:L54,L56:L90)</f>
        <v>0</v>
      </c>
      <c r="M92" s="654">
        <f>SUM(M89:M91)</f>
        <v>0</v>
      </c>
      <c r="N92" s="101" t="s">
        <v>411</v>
      </c>
    </row>
  </sheetData>
  <sheetProtection password="DA6F" sheet="1" objects="1" scenarios="1"/>
  <mergeCells count="4">
    <mergeCell ref="D49:E49"/>
    <mergeCell ref="H50:I50"/>
    <mergeCell ref="D43:F43"/>
    <mergeCell ref="N1:P1"/>
  </mergeCells>
  <phoneticPr fontId="0" type="noConversion"/>
  <printOptions horizontalCentered="1" verticalCentered="1"/>
  <pageMargins left="0.25" right="0.25" top="0.5" bottom="0.25" header="0.25" footer="0.25"/>
  <pageSetup scale="95" orientation="landscape" blackAndWhite="1" draft="1" horizontalDpi="4294967294" verticalDpi="300" r:id="rId1"/>
  <headerFooter alignWithMargins="0">
    <oddHeader xml:space="preserve">&amp;L&amp;D&amp;C&amp;F&amp;R&amp;A 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F27" sqref="F27"/>
    </sheetView>
  </sheetViews>
  <sheetFormatPr defaultRowHeight="12.75" x14ac:dyDescent="0.2"/>
  <cols>
    <col min="1" max="1" width="20.5703125" customWidth="1"/>
    <col min="2" max="2" width="4.5703125" customWidth="1"/>
    <col min="3" max="3" width="10.28515625" customWidth="1"/>
    <col min="4" max="4" width="9.7109375" customWidth="1"/>
    <col min="5" max="5" width="7.28515625" customWidth="1"/>
    <col min="6" max="6" width="9.85546875" customWidth="1"/>
    <col min="7" max="7" width="7.28515625" customWidth="1"/>
    <col min="8" max="8" width="9.85546875" customWidth="1"/>
    <col min="9" max="9" width="8.140625" customWidth="1"/>
    <col min="10" max="10" width="9.85546875" customWidth="1"/>
    <col min="11" max="11" width="8.42578125" customWidth="1"/>
    <col min="12" max="12" width="9.5703125" customWidth="1"/>
    <col min="13" max="13" width="7.28515625" customWidth="1"/>
    <col min="14" max="14" width="30.5703125" customWidth="1"/>
    <col min="15" max="15" width="12.28515625" customWidth="1"/>
  </cols>
  <sheetData>
    <row r="1" spans="1:15" x14ac:dyDescent="0.2">
      <c r="A1" s="127" t="s">
        <v>545</v>
      </c>
      <c r="D1" s="1" t="str">
        <f>'Farm Info'!C5</f>
        <v>2014</v>
      </c>
      <c r="E1" s="9" t="s">
        <v>332</v>
      </c>
    </row>
    <row r="2" spans="1:15" x14ac:dyDescent="0.2">
      <c r="E2" s="501" t="s">
        <v>693</v>
      </c>
    </row>
    <row r="3" spans="1:15" x14ac:dyDescent="0.2">
      <c r="A3" s="210" t="s">
        <v>697</v>
      </c>
      <c r="B3" s="20" t="s">
        <v>241</v>
      </c>
      <c r="C3" s="24"/>
      <c r="D3" s="11" t="s">
        <v>516</v>
      </c>
      <c r="E3" s="121"/>
      <c r="F3" s="11" t="s">
        <v>435</v>
      </c>
      <c r="G3" s="122"/>
      <c r="H3" s="24"/>
      <c r="I3" s="24"/>
      <c r="J3" s="24"/>
      <c r="K3" s="24"/>
      <c r="L3" s="21"/>
    </row>
    <row r="4" spans="1:15" x14ac:dyDescent="0.2">
      <c r="A4" s="72" t="s">
        <v>240</v>
      </c>
      <c r="B4" s="23" t="s">
        <v>242</v>
      </c>
      <c r="C4" s="110" t="s">
        <v>179</v>
      </c>
      <c r="D4" s="111" t="s">
        <v>235</v>
      </c>
      <c r="E4" s="47" t="s">
        <v>238</v>
      </c>
      <c r="F4" s="111" t="s">
        <v>235</v>
      </c>
      <c r="G4" s="112" t="s">
        <v>238</v>
      </c>
      <c r="H4" s="113" t="s">
        <v>236</v>
      </c>
      <c r="I4" s="114" t="s">
        <v>238</v>
      </c>
      <c r="J4" s="46" t="s">
        <v>237</v>
      </c>
      <c r="K4" s="115" t="s">
        <v>238</v>
      </c>
      <c r="L4" s="123" t="s">
        <v>239</v>
      </c>
      <c r="N4" s="47" t="s">
        <v>772</v>
      </c>
    </row>
    <row r="5" spans="1:15" x14ac:dyDescent="0.2">
      <c r="A5" s="210" t="s">
        <v>222</v>
      </c>
      <c r="B5" s="320">
        <v>4</v>
      </c>
      <c r="C5" s="319"/>
      <c r="D5" s="319"/>
      <c r="E5" s="459"/>
      <c r="F5" s="319"/>
      <c r="G5" s="459"/>
      <c r="H5" s="319"/>
      <c r="I5" s="459"/>
      <c r="J5" s="319"/>
      <c r="K5" s="459"/>
      <c r="L5" s="221">
        <f>C5-(D5+F5+H5+J5)</f>
        <v>0</v>
      </c>
      <c r="N5" s="368" t="s">
        <v>694</v>
      </c>
      <c r="O5" s="620"/>
    </row>
    <row r="6" spans="1:15" x14ac:dyDescent="0.2">
      <c r="A6" s="77" t="s">
        <v>223</v>
      </c>
      <c r="B6" s="320">
        <v>4</v>
      </c>
      <c r="C6" s="319"/>
      <c r="D6" s="319"/>
      <c r="E6" s="459"/>
      <c r="F6" s="319"/>
      <c r="G6" s="459"/>
      <c r="H6" s="319"/>
      <c r="I6" s="459"/>
      <c r="J6" s="319"/>
      <c r="K6" s="459"/>
      <c r="L6" s="152">
        <f t="shared" ref="L6:L16" si="0">C6-(D6+F6+H6+J6)</f>
        <v>0</v>
      </c>
      <c r="N6" s="368" t="s">
        <v>695</v>
      </c>
      <c r="O6" s="621"/>
    </row>
    <row r="7" spans="1:15" x14ac:dyDescent="0.2">
      <c r="A7" s="77" t="s">
        <v>224</v>
      </c>
      <c r="B7" s="320">
        <v>5</v>
      </c>
      <c r="C7" s="319"/>
      <c r="D7" s="319"/>
      <c r="E7" s="459"/>
      <c r="F7" s="319"/>
      <c r="G7" s="459"/>
      <c r="H7" s="319"/>
      <c r="I7" s="459"/>
      <c r="J7" s="319"/>
      <c r="K7" s="459"/>
      <c r="L7" s="152">
        <f t="shared" si="0"/>
        <v>0</v>
      </c>
      <c r="N7" s="688" t="s">
        <v>869</v>
      </c>
      <c r="O7" s="621"/>
    </row>
    <row r="8" spans="1:15" x14ac:dyDescent="0.2">
      <c r="A8" s="77" t="s">
        <v>225</v>
      </c>
      <c r="B8" s="320">
        <v>4</v>
      </c>
      <c r="C8" s="319"/>
      <c r="D8" s="319"/>
      <c r="E8" s="459"/>
      <c r="F8" s="319"/>
      <c r="G8" s="459"/>
      <c r="H8" s="319"/>
      <c r="I8" s="459"/>
      <c r="J8" s="319"/>
      <c r="K8" s="459"/>
      <c r="L8" s="152">
        <f t="shared" si="0"/>
        <v>0</v>
      </c>
      <c r="N8" s="368" t="s">
        <v>696</v>
      </c>
      <c r="O8" s="621"/>
    </row>
    <row r="9" spans="1:15" x14ac:dyDescent="0.2">
      <c r="A9" s="77" t="s">
        <v>226</v>
      </c>
      <c r="B9" s="320">
        <v>4</v>
      </c>
      <c r="C9" s="319"/>
      <c r="D9" s="319"/>
      <c r="E9" s="459"/>
      <c r="F9" s="319"/>
      <c r="G9" s="459"/>
      <c r="H9" s="319"/>
      <c r="I9" s="459"/>
      <c r="J9" s="319"/>
      <c r="K9" s="459"/>
      <c r="L9" s="152">
        <f t="shared" si="0"/>
        <v>0</v>
      </c>
      <c r="N9" s="368"/>
      <c r="O9" s="621"/>
    </row>
    <row r="10" spans="1:15" x14ac:dyDescent="0.2">
      <c r="A10" s="77" t="s">
        <v>227</v>
      </c>
      <c r="B10" s="320">
        <v>5</v>
      </c>
      <c r="C10" s="319"/>
      <c r="D10" s="319"/>
      <c r="E10" s="459"/>
      <c r="F10" s="319"/>
      <c r="G10" s="459"/>
      <c r="H10" s="319"/>
      <c r="I10" s="459"/>
      <c r="J10" s="319"/>
      <c r="K10" s="459"/>
      <c r="L10" s="152">
        <f t="shared" si="0"/>
        <v>0</v>
      </c>
      <c r="N10" s="368"/>
      <c r="O10" s="621"/>
    </row>
    <row r="11" spans="1:15" x14ac:dyDescent="0.2">
      <c r="A11" s="77" t="s">
        <v>228</v>
      </c>
      <c r="B11" s="320">
        <v>4</v>
      </c>
      <c r="C11" s="319"/>
      <c r="D11" s="319"/>
      <c r="E11" s="459"/>
      <c r="F11" s="319"/>
      <c r="G11" s="459"/>
      <c r="H11" s="319"/>
      <c r="I11" s="459"/>
      <c r="J11" s="319"/>
      <c r="K11" s="459"/>
      <c r="L11" s="152">
        <f t="shared" si="0"/>
        <v>0</v>
      </c>
      <c r="N11" s="368"/>
      <c r="O11" s="621"/>
    </row>
    <row r="12" spans="1:15" x14ac:dyDescent="0.2">
      <c r="A12" s="77" t="s">
        <v>229</v>
      </c>
      <c r="B12" s="320">
        <v>5</v>
      </c>
      <c r="C12" s="319"/>
      <c r="D12" s="319"/>
      <c r="E12" s="459"/>
      <c r="F12" s="319"/>
      <c r="G12" s="459"/>
      <c r="H12" s="319"/>
      <c r="I12" s="459"/>
      <c r="J12" s="319"/>
      <c r="K12" s="459"/>
      <c r="L12" s="152">
        <f t="shared" si="0"/>
        <v>0</v>
      </c>
      <c r="N12" s="368"/>
      <c r="O12" s="621"/>
    </row>
    <row r="13" spans="1:15" x14ac:dyDescent="0.2">
      <c r="A13" s="77" t="s">
        <v>230</v>
      </c>
      <c r="B13" s="320">
        <v>4</v>
      </c>
      <c r="C13" s="319"/>
      <c r="D13" s="319"/>
      <c r="E13" s="459"/>
      <c r="F13" s="319"/>
      <c r="G13" s="459"/>
      <c r="H13" s="319"/>
      <c r="I13" s="459"/>
      <c r="J13" s="319"/>
      <c r="K13" s="459"/>
      <c r="L13" s="152">
        <f t="shared" si="0"/>
        <v>0</v>
      </c>
      <c r="N13" s="720" t="s">
        <v>914</v>
      </c>
      <c r="O13" s="621"/>
    </row>
    <row r="14" spans="1:15" x14ac:dyDescent="0.2">
      <c r="A14" s="77" t="s">
        <v>231</v>
      </c>
      <c r="B14" s="320">
        <v>4</v>
      </c>
      <c r="C14" s="319"/>
      <c r="D14" s="319"/>
      <c r="E14" s="459"/>
      <c r="F14" s="319"/>
      <c r="G14" s="459"/>
      <c r="H14" s="319"/>
      <c r="I14" s="459"/>
      <c r="J14" s="319"/>
      <c r="K14" s="459"/>
      <c r="L14" s="152">
        <f t="shared" si="0"/>
        <v>0</v>
      </c>
      <c r="N14" s="369" t="s">
        <v>274</v>
      </c>
      <c r="O14" s="621"/>
    </row>
    <row r="15" spans="1:15" x14ac:dyDescent="0.2">
      <c r="A15" s="77" t="s">
        <v>232</v>
      </c>
      <c r="B15" s="320">
        <v>5</v>
      </c>
      <c r="C15" s="319"/>
      <c r="D15" s="319"/>
      <c r="E15" s="459"/>
      <c r="F15" s="319"/>
      <c r="G15" s="459"/>
      <c r="H15" s="319"/>
      <c r="I15" s="459"/>
      <c r="J15" s="319"/>
      <c r="K15" s="459"/>
      <c r="L15" s="152">
        <f t="shared" si="0"/>
        <v>0</v>
      </c>
      <c r="N15" s="733" t="e">
        <f>J16/O15</f>
        <v>#DIV/0!</v>
      </c>
      <c r="O15" s="621">
        <f>'Prdtn &amp; Acres'!C55/20</f>
        <v>0</v>
      </c>
    </row>
    <row r="16" spans="1:15" x14ac:dyDescent="0.2">
      <c r="A16" s="77" t="s">
        <v>233</v>
      </c>
      <c r="B16" s="320">
        <v>4</v>
      </c>
      <c r="C16" s="319"/>
      <c r="D16" s="319"/>
      <c r="E16" s="459"/>
      <c r="F16" s="319"/>
      <c r="G16" s="459"/>
      <c r="H16" s="319"/>
      <c r="I16" s="459"/>
      <c r="J16" s="319"/>
      <c r="K16" s="459"/>
      <c r="L16" s="152">
        <f t="shared" si="0"/>
        <v>0</v>
      </c>
      <c r="N16" s="720"/>
      <c r="O16" s="621"/>
    </row>
    <row r="17" spans="1:17" x14ac:dyDescent="0.2">
      <c r="A17" s="35" t="s">
        <v>234</v>
      </c>
      <c r="B17" s="124">
        <f t="shared" ref="B17:J17" si="1">SUM(B5:B16)</f>
        <v>52</v>
      </c>
      <c r="C17" s="120">
        <f t="shared" si="1"/>
        <v>0</v>
      </c>
      <c r="D17" s="120">
        <f t="shared" si="1"/>
        <v>0</v>
      </c>
      <c r="E17" s="106">
        <f>SUM(E5:E16)</f>
        <v>0</v>
      </c>
      <c r="F17" s="120">
        <f t="shared" si="1"/>
        <v>0</v>
      </c>
      <c r="G17" s="106">
        <f>SUM(G5:G16)</f>
        <v>0</v>
      </c>
      <c r="H17" s="120">
        <f t="shared" si="1"/>
        <v>0</v>
      </c>
      <c r="I17" s="106">
        <f>SUM(I5:I16)</f>
        <v>0</v>
      </c>
      <c r="J17" s="92">
        <f t="shared" si="1"/>
        <v>0</v>
      </c>
      <c r="K17" s="106">
        <f>SUM(K5:K16)</f>
        <v>0</v>
      </c>
      <c r="L17" s="222">
        <f>C17-(D17+F17+H17+J17)</f>
        <v>0</v>
      </c>
      <c r="N17" s="368"/>
      <c r="O17" s="621"/>
    </row>
    <row r="18" spans="1:17" x14ac:dyDescent="0.2">
      <c r="A18" s="6" t="s">
        <v>509</v>
      </c>
      <c r="B18" s="54"/>
      <c r="C18" s="117">
        <f>C17+SUM(C27:C30)</f>
        <v>0</v>
      </c>
      <c r="D18" s="267" t="s">
        <v>570</v>
      </c>
      <c r="E18" s="268" t="e">
        <f>D17/E17</f>
        <v>#DIV/0!</v>
      </c>
      <c r="F18" s="267" t="s">
        <v>570</v>
      </c>
      <c r="G18" s="268" t="e">
        <f>F17/G17</f>
        <v>#DIV/0!</v>
      </c>
      <c r="H18" s="267" t="s">
        <v>570</v>
      </c>
      <c r="I18" s="268" t="e">
        <f>H17/I17</f>
        <v>#DIV/0!</v>
      </c>
      <c r="J18" s="267" t="s">
        <v>570</v>
      </c>
      <c r="K18" s="268" t="e">
        <f>J17/K17</f>
        <v>#DIV/0!</v>
      </c>
      <c r="L18" s="617"/>
      <c r="M18" s="91" t="s">
        <v>275</v>
      </c>
      <c r="N18" s="109"/>
      <c r="O18" s="619">
        <f>SUM(O5:O17)</f>
        <v>0</v>
      </c>
    </row>
    <row r="19" spans="1:17" x14ac:dyDescent="0.2">
      <c r="C19" s="14"/>
      <c r="D19" s="117"/>
      <c r="E19" s="119"/>
      <c r="F19" s="2"/>
      <c r="G19" s="116"/>
      <c r="H19" s="2"/>
      <c r="I19" s="116"/>
      <c r="J19" s="628" t="s">
        <v>276</v>
      </c>
      <c r="K19" s="629"/>
      <c r="L19" s="616">
        <f>SUM(E17,G17,I17,K17)</f>
        <v>0</v>
      </c>
      <c r="M19" s="618">
        <f>L18-L19</f>
        <v>0</v>
      </c>
      <c r="N19" s="68" t="s">
        <v>277</v>
      </c>
    </row>
    <row r="20" spans="1:17" x14ac:dyDescent="0.2">
      <c r="A20" s="17" t="s">
        <v>789</v>
      </c>
      <c r="B20" s="169"/>
      <c r="C20" s="381"/>
      <c r="G20" t="s">
        <v>247</v>
      </c>
      <c r="I20" s="80"/>
      <c r="J20" s="311"/>
      <c r="K20" s="147" t="e">
        <f>$J$20/'Mo. Labor'!$D$21</f>
        <v>#DIV/0!</v>
      </c>
      <c r="L20" t="s">
        <v>218</v>
      </c>
      <c r="M20" s="393"/>
      <c r="N20" s="88"/>
      <c r="O20" s="18"/>
    </row>
    <row r="21" spans="1:17" x14ac:dyDescent="0.2">
      <c r="A21" s="486" t="s">
        <v>701</v>
      </c>
      <c r="D21" s="311"/>
      <c r="E21" s="118"/>
      <c r="F21" s="117"/>
      <c r="G21" t="s">
        <v>216</v>
      </c>
      <c r="I21" s="119"/>
      <c r="J21" s="313"/>
      <c r="K21" s="401"/>
      <c r="L21" s="380">
        <f>SUM(J20:J23)</f>
        <v>0</v>
      </c>
      <c r="M21" s="437" t="s">
        <v>798</v>
      </c>
      <c r="N21" s="8"/>
      <c r="O21" s="18"/>
    </row>
    <row r="22" spans="1:17" x14ac:dyDescent="0.2">
      <c r="A22" t="s">
        <v>700</v>
      </c>
      <c r="B22" s="18"/>
      <c r="C22" s="117"/>
      <c r="D22" s="370"/>
      <c r="E22" s="118"/>
      <c r="F22" s="117"/>
      <c r="G22" t="s">
        <v>217</v>
      </c>
      <c r="I22" s="119"/>
      <c r="J22" s="313"/>
      <c r="K22" s="401"/>
      <c r="M22" s="80"/>
      <c r="N22" s="186"/>
      <c r="O22" s="18"/>
    </row>
    <row r="23" spans="1:17" x14ac:dyDescent="0.2">
      <c r="A23" s="167" t="s">
        <v>772</v>
      </c>
      <c r="C23" s="584" t="s">
        <v>848</v>
      </c>
      <c r="D23" s="583">
        <f>SUM(D21:D22)</f>
        <v>0</v>
      </c>
      <c r="E23" s="118"/>
      <c r="F23" s="117"/>
      <c r="G23" t="s">
        <v>320</v>
      </c>
      <c r="I23" s="119"/>
      <c r="J23" s="313"/>
      <c r="K23" s="69"/>
      <c r="L23" s="269">
        <f>C17*0.0765</f>
        <v>0</v>
      </c>
      <c r="M23" s="367" t="s">
        <v>411</v>
      </c>
      <c r="N23" s="585" t="s">
        <v>849</v>
      </c>
      <c r="O23" s="18"/>
    </row>
    <row r="24" spans="1:17" x14ac:dyDescent="0.2">
      <c r="A24" s="363"/>
      <c r="B24" s="18"/>
      <c r="C24" s="117"/>
      <c r="D24" s="117"/>
      <c r="E24" s="118"/>
      <c r="F24" s="117"/>
      <c r="G24" s="119"/>
      <c r="H24" s="117"/>
      <c r="I24" s="119"/>
      <c r="J24" s="117"/>
      <c r="K24" s="119"/>
      <c r="L24" s="584">
        <f>D21*0.0765</f>
        <v>0</v>
      </c>
      <c r="M24" s="80"/>
      <c r="N24" s="585" t="s">
        <v>850</v>
      </c>
      <c r="O24" s="18"/>
    </row>
    <row r="25" spans="1:17" x14ac:dyDescent="0.2">
      <c r="A25" s="153" t="s">
        <v>698</v>
      </c>
      <c r="B25" s="24"/>
      <c r="C25" s="11" t="s">
        <v>60</v>
      </c>
      <c r="D25" s="42" t="s">
        <v>467</v>
      </c>
      <c r="E25" s="42" t="s">
        <v>517</v>
      </c>
      <c r="F25" s="154" t="s">
        <v>725</v>
      </c>
      <c r="G25" s="119"/>
      <c r="H25" s="117"/>
      <c r="I25" s="781" t="s">
        <v>699</v>
      </c>
      <c r="J25" s="782"/>
      <c r="K25" s="782"/>
      <c r="L25" s="213" t="s">
        <v>60</v>
      </c>
      <c r="M25" s="80"/>
      <c r="N25" s="707"/>
      <c r="O25" s="707" t="s">
        <v>889</v>
      </c>
      <c r="P25" s="707" t="s">
        <v>890</v>
      </c>
      <c r="Q25" s="707" t="s">
        <v>891</v>
      </c>
    </row>
    <row r="26" spans="1:17" x14ac:dyDescent="0.2">
      <c r="A26" s="212" t="s">
        <v>519</v>
      </c>
      <c r="B26" s="22" t="s">
        <v>723</v>
      </c>
      <c r="C26" s="132" t="s">
        <v>318</v>
      </c>
      <c r="D26" s="211" t="s">
        <v>468</v>
      </c>
      <c r="E26" s="211" t="s">
        <v>518</v>
      </c>
      <c r="F26" s="299" t="s">
        <v>724</v>
      </c>
      <c r="G26" s="119"/>
      <c r="H26" s="117"/>
      <c r="I26" s="779" t="s">
        <v>879</v>
      </c>
      <c r="J26" s="780"/>
      <c r="K26" s="780"/>
      <c r="L26" s="703">
        <v>12</v>
      </c>
      <c r="M26" s="80"/>
      <c r="N26" s="706" t="s">
        <v>899</v>
      </c>
      <c r="O26" s="706">
        <v>50</v>
      </c>
      <c r="P26" s="706">
        <v>45</v>
      </c>
      <c r="Q26" s="706">
        <f>O26*P26</f>
        <v>2250</v>
      </c>
    </row>
    <row r="27" spans="1:17" x14ac:dyDescent="0.2">
      <c r="A27" s="131" t="s">
        <v>315</v>
      </c>
      <c r="B27" s="308"/>
      <c r="C27" s="313"/>
      <c r="D27" s="313"/>
      <c r="E27" s="362">
        <v>12</v>
      </c>
      <c r="F27" s="306"/>
      <c r="G27" s="118"/>
      <c r="H27" s="125"/>
      <c r="I27" s="187" t="s">
        <v>511</v>
      </c>
      <c r="J27" s="17"/>
      <c r="K27" s="17"/>
      <c r="L27" s="313"/>
      <c r="M27" s="119"/>
      <c r="N27" s="706" t="s">
        <v>892</v>
      </c>
      <c r="O27" s="706"/>
      <c r="P27" s="706"/>
      <c r="Q27" s="706" t="e">
        <f>O27/P27</f>
        <v>#DIV/0!</v>
      </c>
    </row>
    <row r="28" spans="1:17" x14ac:dyDescent="0.2">
      <c r="A28" s="131" t="s">
        <v>316</v>
      </c>
      <c r="B28" s="308"/>
      <c r="C28" s="313"/>
      <c r="D28" s="313"/>
      <c r="E28" s="362"/>
      <c r="F28" s="306"/>
      <c r="G28" s="94"/>
      <c r="H28" s="82"/>
      <c r="I28" s="187" t="s">
        <v>521</v>
      </c>
      <c r="J28" s="17"/>
      <c r="K28" s="17"/>
      <c r="L28" s="313"/>
      <c r="M28" s="80"/>
      <c r="N28" s="706"/>
      <c r="O28" s="706"/>
      <c r="P28" s="706"/>
      <c r="Q28" s="706"/>
    </row>
    <row r="29" spans="1:17" x14ac:dyDescent="0.2">
      <c r="A29" s="29" t="s">
        <v>317</v>
      </c>
      <c r="B29" s="308"/>
      <c r="C29" s="313"/>
      <c r="D29" s="313"/>
      <c r="E29" s="362"/>
      <c r="F29" s="306"/>
      <c r="G29" s="80"/>
      <c r="H29" s="82"/>
      <c r="I29" s="214" t="s">
        <v>520</v>
      </c>
      <c r="J29" s="107"/>
      <c r="K29" s="107"/>
      <c r="L29" s="313"/>
      <c r="M29" s="80"/>
      <c r="N29" s="706"/>
      <c r="O29" s="706"/>
      <c r="P29" s="706"/>
      <c r="Q29" s="706"/>
    </row>
    <row r="30" spans="1:17" ht="15" x14ac:dyDescent="0.25">
      <c r="A30" s="29" t="s">
        <v>510</v>
      </c>
      <c r="B30" s="308"/>
      <c r="C30" s="313"/>
      <c r="D30" s="313"/>
      <c r="E30" s="362"/>
      <c r="F30" s="306"/>
      <c r="G30" s="119"/>
      <c r="H30" s="126"/>
      <c r="I30" s="209" t="s">
        <v>878</v>
      </c>
      <c r="J30" s="18"/>
      <c r="K30" s="18"/>
      <c r="L30" s="703">
        <v>12</v>
      </c>
      <c r="M30" s="119"/>
      <c r="N30" s="706"/>
      <c r="O30" s="706"/>
      <c r="P30" s="706"/>
      <c r="Q30" s="706"/>
    </row>
    <row r="31" spans="1:17" x14ac:dyDescent="0.2">
      <c r="A31" s="131" t="s">
        <v>312</v>
      </c>
      <c r="B31" s="308"/>
      <c r="C31" s="313"/>
      <c r="D31" s="313"/>
      <c r="E31" s="362"/>
      <c r="F31" s="306"/>
      <c r="G31" s="94"/>
      <c r="H31" s="82"/>
      <c r="I31" s="187" t="s">
        <v>512</v>
      </c>
      <c r="J31" s="17"/>
      <c r="K31" s="17"/>
      <c r="L31" s="313"/>
      <c r="M31" s="94"/>
      <c r="N31" s="706"/>
      <c r="O31" s="706"/>
      <c r="P31" s="706"/>
      <c r="Q31" s="706"/>
    </row>
    <row r="32" spans="1:17" x14ac:dyDescent="0.2">
      <c r="A32" s="131" t="s">
        <v>313</v>
      </c>
      <c r="B32" s="308"/>
      <c r="C32" s="313"/>
      <c r="D32" s="313"/>
      <c r="E32" s="362"/>
      <c r="F32" s="306"/>
      <c r="G32" s="18"/>
      <c r="H32" s="82"/>
      <c r="I32" s="187" t="s">
        <v>513</v>
      </c>
      <c r="J32" s="17"/>
      <c r="K32" s="17"/>
      <c r="L32" s="313"/>
      <c r="M32" s="18"/>
      <c r="N32" s="706"/>
      <c r="O32" s="706"/>
      <c r="P32" s="706"/>
      <c r="Q32" s="706"/>
    </row>
    <row r="33" spans="1:17" x14ac:dyDescent="0.2">
      <c r="A33" s="131" t="s">
        <v>354</v>
      </c>
      <c r="B33" s="308"/>
      <c r="C33" s="313"/>
      <c r="D33" s="313"/>
      <c r="E33" s="362"/>
      <c r="F33" s="306"/>
      <c r="I33" s="215" t="s">
        <v>514</v>
      </c>
      <c r="J33" s="107"/>
      <c r="K33" s="107"/>
      <c r="L33" s="313"/>
      <c r="N33" s="706"/>
      <c r="O33" s="706"/>
      <c r="P33" s="706"/>
      <c r="Q33" s="706"/>
    </row>
    <row r="34" spans="1:17" x14ac:dyDescent="0.2">
      <c r="A34" s="139" t="s">
        <v>314</v>
      </c>
      <c r="B34" s="308"/>
      <c r="C34" s="313"/>
      <c r="D34" s="313"/>
      <c r="E34" s="362"/>
      <c r="F34" s="306"/>
      <c r="I34" s="87" t="s">
        <v>167</v>
      </c>
      <c r="J34" s="52"/>
      <c r="K34" s="52"/>
      <c r="L34" s="274">
        <f>SUM(L27:L29,L31:L33)</f>
        <v>0</v>
      </c>
      <c r="N34" s="706"/>
      <c r="O34" s="706"/>
      <c r="P34" s="706"/>
      <c r="Q34" s="706"/>
    </row>
    <row r="35" spans="1:17" x14ac:dyDescent="0.2">
      <c r="A35" s="139" t="s">
        <v>319</v>
      </c>
      <c r="B35" s="308"/>
      <c r="C35" s="313"/>
      <c r="D35" s="313"/>
      <c r="E35" s="362"/>
      <c r="F35" s="306"/>
      <c r="N35" s="706"/>
      <c r="O35" s="706"/>
      <c r="P35" s="706"/>
      <c r="Q35" s="706"/>
    </row>
    <row r="36" spans="1:17" x14ac:dyDescent="0.2">
      <c r="A36" s="139" t="s">
        <v>355</v>
      </c>
      <c r="B36" s="308"/>
      <c r="C36" s="313"/>
      <c r="D36" s="313"/>
      <c r="E36" s="362"/>
      <c r="F36" s="306"/>
      <c r="I36" s="70" t="s">
        <v>432</v>
      </c>
      <c r="J36" s="52"/>
      <c r="K36" s="52"/>
      <c r="L36" s="192" t="s">
        <v>433</v>
      </c>
      <c r="N36" s="706"/>
      <c r="O36" s="706"/>
      <c r="P36" s="706"/>
      <c r="Q36" s="706"/>
    </row>
    <row r="37" spans="1:17" x14ac:dyDescent="0.2">
      <c r="A37" s="139" t="s">
        <v>355</v>
      </c>
      <c r="B37" s="308"/>
      <c r="C37" s="313"/>
      <c r="D37" s="313"/>
      <c r="E37" s="362"/>
      <c r="F37" s="306"/>
      <c r="I37" s="776" t="s">
        <v>758</v>
      </c>
      <c r="J37" s="777"/>
      <c r="K37" s="778"/>
      <c r="L37" s="309"/>
      <c r="N37" s="706"/>
      <c r="O37" s="706"/>
      <c r="P37" s="706"/>
      <c r="Q37" s="706"/>
    </row>
    <row r="38" spans="1:17" x14ac:dyDescent="0.2">
      <c r="A38" s="187" t="s">
        <v>393</v>
      </c>
      <c r="B38" s="308"/>
      <c r="C38" s="313"/>
      <c r="D38" s="313"/>
      <c r="E38" s="362"/>
      <c r="F38" s="306"/>
      <c r="I38" s="776"/>
      <c r="J38" s="777"/>
      <c r="K38" s="778"/>
      <c r="L38" s="309"/>
      <c r="N38" s="706"/>
      <c r="O38" s="706"/>
      <c r="P38" s="706"/>
      <c r="Q38" s="706"/>
    </row>
    <row r="39" spans="1:17" x14ac:dyDescent="0.2">
      <c r="A39" s="72" t="s">
        <v>167</v>
      </c>
      <c r="B39" s="61"/>
      <c r="C39" s="250">
        <f>SUM(C27:C38)</f>
        <v>0</v>
      </c>
      <c r="D39" s="250">
        <f>SUM(D27:D38)</f>
        <v>0</v>
      </c>
      <c r="E39" s="298">
        <f>SUM(E27:E38)</f>
        <v>12</v>
      </c>
      <c r="F39" s="300">
        <f>SUM(F27:F31)</f>
        <v>0</v>
      </c>
      <c r="I39" s="776"/>
      <c r="J39" s="777"/>
      <c r="K39" s="778"/>
      <c r="L39" s="309"/>
      <c r="N39" s="706"/>
      <c r="O39" s="706"/>
      <c r="P39" s="706"/>
      <c r="Q39" s="706"/>
    </row>
    <row r="40" spans="1:17" x14ac:dyDescent="0.2">
      <c r="D40" s="7"/>
      <c r="I40" s="35" t="s">
        <v>167</v>
      </c>
      <c r="J40" s="61"/>
      <c r="K40" s="15"/>
      <c r="L40" s="275">
        <f>SUM(L37:L39)</f>
        <v>0</v>
      </c>
      <c r="N40" s="706"/>
      <c r="O40" s="706"/>
      <c r="P40" s="706"/>
      <c r="Q40" s="706"/>
    </row>
    <row r="41" spans="1:17" x14ac:dyDescent="0.2">
      <c r="E41" s="52" t="s">
        <v>744</v>
      </c>
      <c r="F41" s="303">
        <f>SUM(C27:C30,D17,F17,H17,J17)</f>
        <v>0</v>
      </c>
      <c r="I41" s="9" t="s">
        <v>877</v>
      </c>
      <c r="J41" s="9"/>
      <c r="K41" s="9"/>
      <c r="L41" s="704">
        <f>((L19+((L27+L28+L29)/L26)+((L31+L32+L33)/L30))/(4.3*42))/12</f>
        <v>0</v>
      </c>
    </row>
  </sheetData>
  <sheetProtection password="DA6F" sheet="1"/>
  <mergeCells count="5">
    <mergeCell ref="I39:K39"/>
    <mergeCell ref="I26:K26"/>
    <mergeCell ref="I25:K25"/>
    <mergeCell ref="I37:K37"/>
    <mergeCell ref="I38:K38"/>
  </mergeCells>
  <phoneticPr fontId="0" type="noConversion"/>
  <printOptions horizontalCentered="1" verticalCentered="1"/>
  <pageMargins left="0.25" right="0.25" top="0.5" bottom="0.5" header="0.25" footer="0.25"/>
  <pageSetup scale="105" orientation="landscape" blackAndWhite="1" draft="1" horizontalDpi="4294967295" verticalDpi="300" r:id="rId1"/>
  <headerFooter alignWithMargins="0">
    <oddFooter>&amp;L&amp;F&amp;R&amp;A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zoomScale="115" zoomScaleNormal="115" workbookViewId="0">
      <pane ySplit="1245" topLeftCell="A4" activePane="bottomLeft"/>
      <selection pane="bottomLeft" activeCell="C11" sqref="C11"/>
    </sheetView>
  </sheetViews>
  <sheetFormatPr defaultRowHeight="12.75" x14ac:dyDescent="0.2"/>
  <cols>
    <col min="1" max="1" width="3.140625" customWidth="1"/>
    <col min="2" max="2" width="30.85546875" customWidth="1"/>
    <col min="3" max="3" width="10" customWidth="1"/>
    <col min="5" max="5" width="11.140625" bestFit="1" customWidth="1"/>
    <col min="6" max="6" width="10.28515625" customWidth="1"/>
    <col min="7" max="7" width="4.140625" customWidth="1"/>
    <col min="8" max="8" width="9.85546875" customWidth="1"/>
    <col min="9" max="10" width="8.5703125" customWidth="1"/>
    <col min="11" max="12" width="8.7109375" customWidth="1"/>
    <col min="13" max="13" width="9.28515625" bestFit="1" customWidth="1"/>
    <col min="14" max="14" width="8.5703125" customWidth="1"/>
    <col min="15" max="15" width="3.28515625" customWidth="1"/>
    <col min="16" max="16" width="9.7109375" customWidth="1"/>
  </cols>
  <sheetData>
    <row r="1" spans="1:23" x14ac:dyDescent="0.2">
      <c r="A1" s="8"/>
      <c r="D1" s="157" t="s">
        <v>68</v>
      </c>
      <c r="E1" s="157" t="s">
        <v>82</v>
      </c>
      <c r="H1" s="153" t="s">
        <v>140</v>
      </c>
      <c r="I1" s="11" t="s">
        <v>140</v>
      </c>
      <c r="J1" s="89" t="s">
        <v>140</v>
      </c>
      <c r="K1" s="89" t="s">
        <v>140</v>
      </c>
      <c r="L1" s="89" t="s">
        <v>140</v>
      </c>
      <c r="M1" s="11" t="s">
        <v>140</v>
      </c>
      <c r="N1" s="154" t="s">
        <v>140</v>
      </c>
    </row>
    <row r="2" spans="1:23" x14ac:dyDescent="0.2">
      <c r="A2" s="8"/>
      <c r="C2" s="1" t="s">
        <v>61</v>
      </c>
      <c r="D2" s="157" t="s">
        <v>80</v>
      </c>
      <c r="E2" s="157" t="s">
        <v>81</v>
      </c>
      <c r="F2" s="1" t="s">
        <v>65</v>
      </c>
      <c r="G2" s="8"/>
      <c r="H2" s="156" t="s">
        <v>340</v>
      </c>
      <c r="I2" s="27" t="s">
        <v>341</v>
      </c>
      <c r="J2" s="155" t="s">
        <v>557</v>
      </c>
      <c r="K2" s="155" t="s">
        <v>339</v>
      </c>
      <c r="L2" s="155" t="s">
        <v>533</v>
      </c>
      <c r="M2" s="27" t="s">
        <v>530</v>
      </c>
      <c r="N2" s="104" t="s">
        <v>531</v>
      </c>
    </row>
    <row r="3" spans="1:23" x14ac:dyDescent="0.2">
      <c r="A3" s="47"/>
      <c r="B3" s="22" t="s">
        <v>24</v>
      </c>
      <c r="C3" s="22" t="s">
        <v>60</v>
      </c>
      <c r="D3" s="51" t="s">
        <v>56</v>
      </c>
      <c r="E3" s="51" t="s">
        <v>56</v>
      </c>
      <c r="F3" s="22" t="s">
        <v>66</v>
      </c>
      <c r="G3" s="47"/>
      <c r="H3" s="473" t="s">
        <v>139</v>
      </c>
      <c r="I3" s="46" t="s">
        <v>139</v>
      </c>
      <c r="J3" s="591" t="s">
        <v>139</v>
      </c>
      <c r="K3" s="591" t="s">
        <v>342</v>
      </c>
      <c r="L3" s="591" t="s">
        <v>532</v>
      </c>
      <c r="M3" s="591" t="s">
        <v>532</v>
      </c>
      <c r="N3" s="592" t="s">
        <v>532</v>
      </c>
    </row>
    <row r="4" spans="1:23" x14ac:dyDescent="0.2">
      <c r="A4">
        <v>1</v>
      </c>
      <c r="B4" s="18" t="s">
        <v>853</v>
      </c>
      <c r="C4" s="243">
        <f>'Mo. Labor'!D17+'Mo. Labor'!F17</f>
        <v>0</v>
      </c>
      <c r="D4" s="93"/>
      <c r="E4" s="93">
        <f>E92</f>
        <v>0</v>
      </c>
      <c r="F4" s="30">
        <f>SUM(C4:E4)</f>
        <v>0</v>
      </c>
      <c r="G4" s="18"/>
      <c r="H4" s="98" t="e">
        <f>F4/'Prdtn &amp; Acres'!$I$43</f>
        <v>#DIV/0!</v>
      </c>
      <c r="I4" s="82" t="e">
        <f>F4/'Prdtn &amp; Acres'!$I$45</f>
        <v>#DIV/0!</v>
      </c>
      <c r="J4" s="242" t="e">
        <f>F4/'Prdtn &amp; Acres'!$I$47</f>
        <v>#DIV/0!</v>
      </c>
      <c r="K4" s="148" t="e">
        <f>F4/'Prdtn &amp; Acres'!$L$92</f>
        <v>#DIV/0!</v>
      </c>
      <c r="L4" s="94" t="e">
        <f t="shared" ref="L4:L44" si="0">K4*2000</f>
        <v>#DIV/0!</v>
      </c>
      <c r="M4" s="83" t="e">
        <f>K4*42</f>
        <v>#DIV/0!</v>
      </c>
      <c r="N4" s="251" t="e">
        <f>K4*840</f>
        <v>#DIV/0!</v>
      </c>
    </row>
    <row r="5" spans="1:23" x14ac:dyDescent="0.2">
      <c r="A5">
        <f>A4+1</f>
        <v>2</v>
      </c>
      <c r="B5" s="589" t="s">
        <v>854</v>
      </c>
      <c r="C5" s="243">
        <f>'Mo. Labor'!H17+SUM('Mo. Labor'!L27:L29)</f>
        <v>0</v>
      </c>
      <c r="D5" s="93">
        <f>E55</f>
        <v>0</v>
      </c>
      <c r="E5" s="93">
        <f>E93</f>
        <v>0</v>
      </c>
      <c r="F5" s="30">
        <f>SUM(C5:E5)</f>
        <v>0</v>
      </c>
      <c r="G5" s="18"/>
      <c r="H5" s="98" t="e">
        <f>F5/'Prdtn &amp; Acres'!$I$43</f>
        <v>#DIV/0!</v>
      </c>
      <c r="I5" s="82" t="e">
        <f>F5/'Prdtn &amp; Acres'!$I$45</f>
        <v>#DIV/0!</v>
      </c>
      <c r="J5" s="242" t="e">
        <f>F5/'Prdtn &amp; Acres'!$I$47</f>
        <v>#DIV/0!</v>
      </c>
      <c r="K5" s="148" t="e">
        <f>F5/'Prdtn &amp; Acres'!$L$92</f>
        <v>#DIV/0!</v>
      </c>
      <c r="L5" s="94" t="e">
        <f t="shared" si="0"/>
        <v>#DIV/0!</v>
      </c>
      <c r="M5" s="83" t="e">
        <f t="shared" ref="M5:M42" si="1">K5*42</f>
        <v>#DIV/0!</v>
      </c>
      <c r="N5" s="251" t="e">
        <f t="shared" ref="N5:N42" si="2">K5*840</f>
        <v>#DIV/0!</v>
      </c>
    </row>
    <row r="6" spans="1:23" x14ac:dyDescent="0.2">
      <c r="A6">
        <f t="shared" ref="A6:A37" si="3">A5+1</f>
        <v>3</v>
      </c>
      <c r="B6" s="590" t="s">
        <v>855</v>
      </c>
      <c r="C6" s="163">
        <f>'Mo. Labor'!J17+SUM('Mo. Labor'!L31:L33)</f>
        <v>0</v>
      </c>
      <c r="D6" s="106">
        <f>E56</f>
        <v>0</v>
      </c>
      <c r="E6" s="106">
        <f>E94</f>
        <v>0</v>
      </c>
      <c r="F6" s="66">
        <f>SUM(C6:E6)</f>
        <v>0</v>
      </c>
      <c r="G6" s="18"/>
      <c r="H6" s="98" t="e">
        <f>F6/'Prdtn &amp; Acres'!$I$43</f>
        <v>#DIV/0!</v>
      </c>
      <c r="I6" s="82" t="e">
        <f>F6/'Prdtn &amp; Acres'!$I$45</f>
        <v>#DIV/0!</v>
      </c>
      <c r="J6" s="102" t="e">
        <f>F6/'Prdtn &amp; Acres'!$I$47</f>
        <v>#DIV/0!</v>
      </c>
      <c r="K6" s="149" t="e">
        <f>F6/'Prdtn &amp; Acres'!$L$92</f>
        <v>#DIV/0!</v>
      </c>
      <c r="L6" s="202" t="e">
        <f t="shared" si="0"/>
        <v>#DIV/0!</v>
      </c>
      <c r="M6" s="86" t="e">
        <f t="shared" si="1"/>
        <v>#DIV/0!</v>
      </c>
      <c r="N6" s="252" t="e">
        <f t="shared" si="2"/>
        <v>#DIV/0!</v>
      </c>
    </row>
    <row r="7" spans="1:23" x14ac:dyDescent="0.2">
      <c r="A7">
        <f t="shared" si="3"/>
        <v>4</v>
      </c>
      <c r="B7" s="246" t="s">
        <v>27</v>
      </c>
      <c r="C7" s="247">
        <f>SUM(C4:C6)</f>
        <v>0</v>
      </c>
      <c r="D7" s="247">
        <f>SUM(D4:D6)</f>
        <v>0</v>
      </c>
      <c r="E7" s="247">
        <f>SUM(E4:E6)</f>
        <v>0</v>
      </c>
      <c r="F7" s="137">
        <f>SUM(F4:F6)</f>
        <v>0</v>
      </c>
      <c r="G7" s="18"/>
      <c r="H7" s="253" t="e">
        <f>F7/'Prdtn &amp; Acres'!$I$43</f>
        <v>#DIV/0!</v>
      </c>
      <c r="I7" s="248" t="e">
        <f>F7/'Prdtn &amp; Acres'!$I$45</f>
        <v>#DIV/0!</v>
      </c>
      <c r="J7" s="634" t="e">
        <f>F7/'Prdtn &amp; Acres'!$I$47</f>
        <v>#DIV/0!</v>
      </c>
      <c r="K7" s="635" t="e">
        <f>F7/'Prdtn &amp; Acres'!$L$92</f>
        <v>#DIV/0!</v>
      </c>
      <c r="L7" s="636" t="e">
        <f t="shared" si="0"/>
        <v>#DIV/0!</v>
      </c>
      <c r="M7" s="637" t="e">
        <f t="shared" si="1"/>
        <v>#DIV/0!</v>
      </c>
      <c r="N7" s="638" t="e">
        <f t="shared" si="2"/>
        <v>#DIV/0!</v>
      </c>
    </row>
    <row r="8" spans="1:23" x14ac:dyDescent="0.2">
      <c r="A8">
        <f t="shared" si="3"/>
        <v>5</v>
      </c>
      <c r="B8" s="18" t="s">
        <v>25</v>
      </c>
      <c r="C8" s="243">
        <f>'Mo. Labor'!J23</f>
        <v>0</v>
      </c>
      <c r="D8" s="93"/>
      <c r="E8" s="93">
        <f t="shared" ref="E8:E14" si="4">E96</f>
        <v>0</v>
      </c>
      <c r="F8" s="30">
        <f t="shared" ref="F8:F14" si="5">SUM(C8:E8)</f>
        <v>0</v>
      </c>
      <c r="G8" s="18"/>
      <c r="H8" s="98" t="e">
        <f>F8/'Prdtn &amp; Acres'!$I$43</f>
        <v>#DIV/0!</v>
      </c>
      <c r="I8" s="82" t="e">
        <f>F8/'Prdtn &amp; Acres'!$I$45</f>
        <v>#DIV/0!</v>
      </c>
      <c r="J8" s="242" t="e">
        <f>F8/'Prdtn &amp; Acres'!$I$47</f>
        <v>#DIV/0!</v>
      </c>
      <c r="K8" s="148" t="e">
        <f>F8/'Prdtn &amp; Acres'!$L$92</f>
        <v>#DIV/0!</v>
      </c>
      <c r="L8" s="94" t="e">
        <f t="shared" si="0"/>
        <v>#DIV/0!</v>
      </c>
      <c r="M8" s="83" t="e">
        <f t="shared" si="1"/>
        <v>#DIV/0!</v>
      </c>
      <c r="N8" s="251" t="e">
        <f t="shared" si="2"/>
        <v>#DIV/0!</v>
      </c>
    </row>
    <row r="9" spans="1:23" x14ac:dyDescent="0.2">
      <c r="A9">
        <f t="shared" si="3"/>
        <v>6</v>
      </c>
      <c r="B9" s="18" t="s">
        <v>26</v>
      </c>
      <c r="C9" s="243">
        <f>'Mo. Labor'!J21+'Mo. Labor'!J22</f>
        <v>0</v>
      </c>
      <c r="D9" s="93"/>
      <c r="E9" s="93">
        <f t="shared" si="4"/>
        <v>0</v>
      </c>
      <c r="F9" s="30">
        <f t="shared" si="5"/>
        <v>0</v>
      </c>
      <c r="G9" s="18"/>
      <c r="H9" s="98" t="e">
        <f>F9/'Prdtn &amp; Acres'!$I$43</f>
        <v>#DIV/0!</v>
      </c>
      <c r="I9" s="82" t="e">
        <f>F9/'Prdtn &amp; Acres'!$I$45</f>
        <v>#DIV/0!</v>
      </c>
      <c r="J9" s="242" t="e">
        <f>F9/'Prdtn &amp; Acres'!$I$47</f>
        <v>#DIV/0!</v>
      </c>
      <c r="K9" s="148" t="e">
        <f>F9/'Prdtn &amp; Acres'!$L$92</f>
        <v>#DIV/0!</v>
      </c>
      <c r="L9" s="94" t="e">
        <f t="shared" si="0"/>
        <v>#DIV/0!</v>
      </c>
      <c r="M9" s="83" t="e">
        <f t="shared" si="1"/>
        <v>#DIV/0!</v>
      </c>
      <c r="N9" s="251" t="e">
        <f t="shared" si="2"/>
        <v>#DIV/0!</v>
      </c>
      <c r="R9" s="697" t="s">
        <v>873</v>
      </c>
      <c r="S9" s="696"/>
      <c r="T9" s="696"/>
      <c r="U9" s="696"/>
      <c r="V9" s="696"/>
      <c r="W9" s="696"/>
    </row>
    <row r="10" spans="1:23" x14ac:dyDescent="0.2">
      <c r="A10">
        <f t="shared" si="3"/>
        <v>7</v>
      </c>
      <c r="B10" s="18" t="s">
        <v>625</v>
      </c>
      <c r="C10" s="243">
        <f>'Mo. Labor'!J20</f>
        <v>0</v>
      </c>
      <c r="D10" s="93">
        <f>E57</f>
        <v>0</v>
      </c>
      <c r="E10" s="93">
        <f t="shared" si="4"/>
        <v>0</v>
      </c>
      <c r="F10" s="30">
        <f t="shared" si="5"/>
        <v>0</v>
      </c>
      <c r="G10" s="18"/>
      <c r="H10" s="98" t="e">
        <f>F10/'Prdtn &amp; Acres'!$I$43</f>
        <v>#DIV/0!</v>
      </c>
      <c r="I10" s="82" t="e">
        <f>F10/'Prdtn &amp; Acres'!$I$45</f>
        <v>#DIV/0!</v>
      </c>
      <c r="J10" s="242" t="e">
        <f>F10/'Prdtn &amp; Acres'!$I$47</f>
        <v>#DIV/0!</v>
      </c>
      <c r="K10" s="148" t="e">
        <f>F10/'Prdtn &amp; Acres'!$L$92</f>
        <v>#DIV/0!</v>
      </c>
      <c r="L10" s="94" t="e">
        <f t="shared" si="0"/>
        <v>#DIV/0!</v>
      </c>
      <c r="M10" s="83" t="e">
        <f t="shared" si="1"/>
        <v>#DIV/0!</v>
      </c>
      <c r="N10" s="251" t="e">
        <f t="shared" si="2"/>
        <v>#DIV/0!</v>
      </c>
      <c r="R10" s="696"/>
      <c r="S10" s="698"/>
      <c r="T10" s="698"/>
      <c r="U10" s="698"/>
      <c r="V10" s="698"/>
      <c r="W10" s="698"/>
    </row>
    <row r="11" spans="1:23" x14ac:dyDescent="0.2">
      <c r="A11">
        <f t="shared" si="3"/>
        <v>8</v>
      </c>
      <c r="B11" s="18" t="s">
        <v>28</v>
      </c>
      <c r="C11" s="438"/>
      <c r="D11" s="93">
        <f>E58</f>
        <v>0</v>
      </c>
      <c r="E11" s="93">
        <f t="shared" si="4"/>
        <v>0</v>
      </c>
      <c r="F11" s="30">
        <f t="shared" si="5"/>
        <v>0</v>
      </c>
      <c r="G11" s="18"/>
      <c r="H11" s="98" t="e">
        <f>F11/'Prdtn &amp; Acres'!$I$43</f>
        <v>#DIV/0!</v>
      </c>
      <c r="I11" s="82" t="e">
        <f>F11/'Prdtn &amp; Acres'!$I$45</f>
        <v>#DIV/0!</v>
      </c>
      <c r="J11" s="242" t="e">
        <f>F11/'Prdtn &amp; Acres'!$I$47</f>
        <v>#DIV/0!</v>
      </c>
      <c r="K11" s="148" t="e">
        <f>F11/'Prdtn &amp; Acres'!$L$92</f>
        <v>#DIV/0!</v>
      </c>
      <c r="L11" s="94" t="e">
        <f t="shared" si="0"/>
        <v>#DIV/0!</v>
      </c>
      <c r="M11" s="83" t="e">
        <f t="shared" si="1"/>
        <v>#DIV/0!</v>
      </c>
      <c r="N11" s="251" t="e">
        <f t="shared" si="2"/>
        <v>#DIV/0!</v>
      </c>
      <c r="R11" s="697" t="s">
        <v>24</v>
      </c>
      <c r="S11" s="698">
        <v>1633460</v>
      </c>
      <c r="T11" s="698"/>
      <c r="U11" s="698"/>
      <c r="V11" s="698"/>
      <c r="W11" s="698"/>
    </row>
    <row r="12" spans="1:23" x14ac:dyDescent="0.2">
      <c r="A12">
        <f t="shared" si="3"/>
        <v>9</v>
      </c>
      <c r="B12" s="18" t="s">
        <v>726</v>
      </c>
      <c r="C12" s="502"/>
      <c r="D12" s="93"/>
      <c r="E12" s="93">
        <f t="shared" si="4"/>
        <v>0</v>
      </c>
      <c r="F12" s="30">
        <f t="shared" si="5"/>
        <v>0</v>
      </c>
      <c r="G12" s="18"/>
      <c r="H12" s="98" t="e">
        <f>F12/'Prdtn &amp; Acres'!$I$43</f>
        <v>#DIV/0!</v>
      </c>
      <c r="I12" s="82" t="e">
        <f>F12/'Prdtn &amp; Acres'!$I$45</f>
        <v>#DIV/0!</v>
      </c>
      <c r="J12" s="242" t="e">
        <f>F12/'Prdtn &amp; Acres'!$I$47</f>
        <v>#DIV/0!</v>
      </c>
      <c r="K12" s="148" t="e">
        <f>F12/'Prdtn &amp; Acres'!$L$92</f>
        <v>#DIV/0!</v>
      </c>
      <c r="L12" s="94" t="e">
        <f t="shared" si="0"/>
        <v>#DIV/0!</v>
      </c>
      <c r="M12" s="83" t="e">
        <f t="shared" si="1"/>
        <v>#DIV/0!</v>
      </c>
      <c r="N12" s="251" t="e">
        <f t="shared" si="2"/>
        <v>#DIV/0!</v>
      </c>
      <c r="R12" s="697" t="s">
        <v>874</v>
      </c>
      <c r="S12" s="698">
        <v>319472</v>
      </c>
      <c r="T12" s="698"/>
      <c r="U12" s="698"/>
      <c r="V12" s="698"/>
      <c r="W12" s="698"/>
    </row>
    <row r="13" spans="1:23" x14ac:dyDescent="0.2">
      <c r="A13">
        <f t="shared" si="3"/>
        <v>10</v>
      </c>
      <c r="B13" s="18" t="s">
        <v>30</v>
      </c>
      <c r="C13" s="502"/>
      <c r="D13" s="93">
        <f>E59</f>
        <v>0</v>
      </c>
      <c r="E13" s="93">
        <f t="shared" si="4"/>
        <v>0</v>
      </c>
      <c r="F13" s="30">
        <f t="shared" si="5"/>
        <v>0</v>
      </c>
      <c r="G13" s="18"/>
      <c r="H13" s="98" t="e">
        <f>F13/'Prdtn &amp; Acres'!$I$43</f>
        <v>#DIV/0!</v>
      </c>
      <c r="I13" s="82" t="e">
        <f>F13/'Prdtn &amp; Acres'!$I$45</f>
        <v>#DIV/0!</v>
      </c>
      <c r="J13" s="242" t="e">
        <f>F13/'Prdtn &amp; Acres'!$I$47</f>
        <v>#DIV/0!</v>
      </c>
      <c r="K13" s="148" t="e">
        <f>F13/'Prdtn &amp; Acres'!$L$92</f>
        <v>#DIV/0!</v>
      </c>
      <c r="L13" s="94" t="e">
        <f t="shared" si="0"/>
        <v>#DIV/0!</v>
      </c>
      <c r="M13" s="83" t="e">
        <f t="shared" si="1"/>
        <v>#DIV/0!</v>
      </c>
      <c r="N13" s="251" t="e">
        <f t="shared" si="2"/>
        <v>#DIV/0!</v>
      </c>
      <c r="P13" s="8" t="s">
        <v>822</v>
      </c>
      <c r="R13" s="696"/>
      <c r="S13" s="698">
        <f>SUM(S11:S12)</f>
        <v>1952932</v>
      </c>
      <c r="T13" s="698"/>
      <c r="U13" s="698"/>
      <c r="V13" s="698"/>
      <c r="W13" s="698"/>
    </row>
    <row r="14" spans="1:23" x14ac:dyDescent="0.2">
      <c r="A14">
        <f t="shared" si="3"/>
        <v>11</v>
      </c>
      <c r="B14" s="18" t="s">
        <v>59</v>
      </c>
      <c r="C14" s="502"/>
      <c r="D14" s="93">
        <f>E60</f>
        <v>0</v>
      </c>
      <c r="E14" s="93">
        <f t="shared" si="4"/>
        <v>0</v>
      </c>
      <c r="F14" s="30">
        <f t="shared" si="5"/>
        <v>0</v>
      </c>
      <c r="G14" s="18"/>
      <c r="H14" s="98" t="e">
        <f>F14/'Prdtn &amp; Acres'!$I$43</f>
        <v>#DIV/0!</v>
      </c>
      <c r="I14" s="82" t="e">
        <f>F14/'Prdtn &amp; Acres'!$I$45</f>
        <v>#DIV/0!</v>
      </c>
      <c r="J14" s="242" t="e">
        <f>F14/'Prdtn &amp; Acres'!$I$47</f>
        <v>#DIV/0!</v>
      </c>
      <c r="K14" s="148" t="e">
        <f>F14/'Prdtn &amp; Acres'!$L$92</f>
        <v>#DIV/0!</v>
      </c>
      <c r="L14" s="94" t="e">
        <f t="shared" si="0"/>
        <v>#DIV/0!</v>
      </c>
      <c r="M14" s="83" t="e">
        <f t="shared" si="1"/>
        <v>#DIV/0!</v>
      </c>
      <c r="N14" s="251" t="e">
        <f t="shared" si="2"/>
        <v>#DIV/0!</v>
      </c>
      <c r="P14" s="47" t="s">
        <v>823</v>
      </c>
      <c r="R14" s="697" t="s">
        <v>875</v>
      </c>
      <c r="S14" s="698">
        <v>78582</v>
      </c>
      <c r="T14" s="698"/>
      <c r="U14" s="698"/>
      <c r="V14" s="698"/>
      <c r="W14" s="698"/>
    </row>
    <row r="15" spans="1:23" x14ac:dyDescent="0.2">
      <c r="A15">
        <f t="shared" si="3"/>
        <v>12</v>
      </c>
      <c r="B15" s="63" t="s">
        <v>31</v>
      </c>
      <c r="C15" s="249">
        <f>SUM(C8:C14)</f>
        <v>0</v>
      </c>
      <c r="D15" s="249">
        <f>SUM(D8:D14)</f>
        <v>0</v>
      </c>
      <c r="E15" s="249">
        <f>SUM(E8:E14)</f>
        <v>0</v>
      </c>
      <c r="F15" s="250">
        <f>SUM(F8:F14)</f>
        <v>0</v>
      </c>
      <c r="G15" s="18"/>
      <c r="H15" s="100" t="e">
        <f>F15/'Prdtn &amp; Acres'!$I$43</f>
        <v>#DIV/0!</v>
      </c>
      <c r="I15" s="25" t="e">
        <f>F15/'Prdtn &amp; Acres'!$I$45</f>
        <v>#DIV/0!</v>
      </c>
      <c r="J15" s="92" t="e">
        <f>F15/'Prdtn &amp; Acres'!$I$47</f>
        <v>#DIV/0!</v>
      </c>
      <c r="K15" s="639" t="e">
        <f>F15/'Prdtn &amp; Acres'!$L$92</f>
        <v>#DIV/0!</v>
      </c>
      <c r="L15" s="640" t="e">
        <f t="shared" si="0"/>
        <v>#DIV/0!</v>
      </c>
      <c r="M15" s="84" t="e">
        <f t="shared" si="1"/>
        <v>#DIV/0!</v>
      </c>
      <c r="N15" s="255" t="e">
        <f t="shared" si="2"/>
        <v>#DIV/0!</v>
      </c>
      <c r="P15" s="7">
        <f>SUM(C7,C15)</f>
        <v>0</v>
      </c>
      <c r="R15" s="696"/>
      <c r="S15" s="698">
        <f>S13-S14</f>
        <v>1874350</v>
      </c>
      <c r="T15" s="698"/>
      <c r="U15" s="698"/>
      <c r="V15" s="698"/>
      <c r="W15" s="698"/>
    </row>
    <row r="16" spans="1:23" x14ac:dyDescent="0.2">
      <c r="A16">
        <f t="shared" si="3"/>
        <v>13</v>
      </c>
      <c r="B16" s="17" t="s">
        <v>32</v>
      </c>
      <c r="C16" s="502"/>
      <c r="D16" s="93">
        <f>E62</f>
        <v>0</v>
      </c>
      <c r="E16" s="93">
        <f>E104</f>
        <v>0</v>
      </c>
      <c r="F16" s="30">
        <f t="shared" ref="F16:F37" si="6">SUM(C16:E16)</f>
        <v>0</v>
      </c>
      <c r="G16" s="18"/>
      <c r="H16" s="98" t="e">
        <f>F16/'Prdtn &amp; Acres'!$I$43</f>
        <v>#DIV/0!</v>
      </c>
      <c r="I16" s="82" t="e">
        <f>F16/'Prdtn &amp; Acres'!$I$45</f>
        <v>#DIV/0!</v>
      </c>
      <c r="J16" s="242" t="e">
        <f>F16/'Prdtn &amp; Acres'!$I$47</f>
        <v>#DIV/0!</v>
      </c>
      <c r="K16" s="148" t="e">
        <f>F16/'Prdtn &amp; Acres'!$L$92</f>
        <v>#DIV/0!</v>
      </c>
      <c r="L16" s="94" t="e">
        <f t="shared" si="0"/>
        <v>#DIV/0!</v>
      </c>
      <c r="M16" s="83" t="e">
        <f t="shared" si="1"/>
        <v>#DIV/0!</v>
      </c>
      <c r="N16" s="251" t="e">
        <f t="shared" si="2"/>
        <v>#DIV/0!</v>
      </c>
      <c r="P16" s="484">
        <f>'Mo. Labor'!C39+'Mo. Labor'!L34+Expenses!C7+Expenses!C15</f>
        <v>0</v>
      </c>
      <c r="Q16" s="8" t="s">
        <v>839</v>
      </c>
      <c r="R16" s="696"/>
      <c r="S16" s="698"/>
      <c r="T16" s="698"/>
      <c r="U16" s="698"/>
      <c r="V16" s="698"/>
      <c r="W16" s="698"/>
    </row>
    <row r="17" spans="1:23" x14ac:dyDescent="0.2">
      <c r="A17">
        <f t="shared" si="3"/>
        <v>14</v>
      </c>
      <c r="B17" s="17" t="s">
        <v>33</v>
      </c>
      <c r="C17" s="502"/>
      <c r="D17" s="93">
        <f>E63</f>
        <v>0</v>
      </c>
      <c r="E17" s="93">
        <f>E105</f>
        <v>0</v>
      </c>
      <c r="F17" s="30">
        <f t="shared" si="6"/>
        <v>0</v>
      </c>
      <c r="G17" s="18"/>
      <c r="H17" s="98" t="e">
        <f>F17/'Prdtn &amp; Acres'!$I$43</f>
        <v>#DIV/0!</v>
      </c>
      <c r="I17" s="82" t="e">
        <f>F17/'Prdtn &amp; Acres'!$I$45</f>
        <v>#DIV/0!</v>
      </c>
      <c r="J17" s="242" t="e">
        <f>F17/'Prdtn &amp; Acres'!$I$47</f>
        <v>#DIV/0!</v>
      </c>
      <c r="K17" s="148" t="e">
        <f>F17/'Prdtn &amp; Acres'!$L$92</f>
        <v>#DIV/0!</v>
      </c>
      <c r="L17" s="94" t="e">
        <f t="shared" si="0"/>
        <v>#DIV/0!</v>
      </c>
      <c r="M17" s="83" t="e">
        <f t="shared" si="1"/>
        <v>#DIV/0!</v>
      </c>
      <c r="N17" s="251" t="e">
        <f t="shared" si="2"/>
        <v>#DIV/0!</v>
      </c>
      <c r="P17" s="485"/>
      <c r="Q17" s="8" t="s">
        <v>838</v>
      </c>
      <c r="R17" s="697" t="s">
        <v>876</v>
      </c>
      <c r="S17" s="698">
        <v>1855819</v>
      </c>
      <c r="T17" s="698"/>
      <c r="U17" s="698"/>
      <c r="V17" s="698"/>
      <c r="W17" s="698"/>
    </row>
    <row r="18" spans="1:23" x14ac:dyDescent="0.2">
      <c r="A18">
        <f t="shared" si="3"/>
        <v>15</v>
      </c>
      <c r="B18" s="17" t="s">
        <v>211</v>
      </c>
      <c r="C18" s="502"/>
      <c r="D18" s="93">
        <f>E64</f>
        <v>0</v>
      </c>
      <c r="E18" s="93">
        <f>E106</f>
        <v>0</v>
      </c>
      <c r="F18" s="30">
        <f t="shared" si="6"/>
        <v>0</v>
      </c>
      <c r="G18" s="18"/>
      <c r="H18" s="98" t="e">
        <f>F18/'Prdtn &amp; Acres'!$I$43</f>
        <v>#DIV/0!</v>
      </c>
      <c r="I18" s="82" t="e">
        <f>F18/'Prdtn &amp; Acres'!$I$45</f>
        <v>#DIV/0!</v>
      </c>
      <c r="J18" s="242" t="e">
        <f>F18/'Prdtn &amp; Acres'!$I$47</f>
        <v>#DIV/0!</v>
      </c>
      <c r="K18" s="148" t="e">
        <f>F18/'Prdtn &amp; Acres'!$L$92</f>
        <v>#DIV/0!</v>
      </c>
      <c r="L18" s="94" t="e">
        <f t="shared" si="0"/>
        <v>#DIV/0!</v>
      </c>
      <c r="M18" s="83" t="e">
        <f t="shared" si="1"/>
        <v>#DIV/0!</v>
      </c>
      <c r="N18" s="251" t="e">
        <f t="shared" si="2"/>
        <v>#DIV/0!</v>
      </c>
      <c r="P18" s="295">
        <f>P16+P17</f>
        <v>0</v>
      </c>
      <c r="Q18" s="8" t="s">
        <v>840</v>
      </c>
      <c r="R18" s="696"/>
      <c r="S18" s="698">
        <f>S15-S17</f>
        <v>18531</v>
      </c>
      <c r="T18" s="698"/>
      <c r="U18" s="698"/>
      <c r="V18" s="698"/>
      <c r="W18" s="698"/>
    </row>
    <row r="19" spans="1:23" x14ac:dyDescent="0.2">
      <c r="A19">
        <f t="shared" si="3"/>
        <v>16</v>
      </c>
      <c r="B19" s="107" t="s">
        <v>37</v>
      </c>
      <c r="C19" s="502"/>
      <c r="D19" s="106">
        <f t="shared" ref="D19:D25" si="7">E65</f>
        <v>0</v>
      </c>
      <c r="E19" s="106">
        <f>E107</f>
        <v>0</v>
      </c>
      <c r="F19" s="66">
        <f t="shared" si="6"/>
        <v>0</v>
      </c>
      <c r="G19" s="18"/>
      <c r="H19" s="108" t="e">
        <f>F19/'Prdtn &amp; Acres'!$I$43</f>
        <v>#DIV/0!</v>
      </c>
      <c r="I19" s="67" t="e">
        <f>F19/'Prdtn &amp; Acres'!$I$45</f>
        <v>#DIV/0!</v>
      </c>
      <c r="J19" s="102" t="e">
        <f>F19/'Prdtn &amp; Acres'!$I$47</f>
        <v>#DIV/0!</v>
      </c>
      <c r="K19" s="149" t="e">
        <f>F19/'Prdtn &amp; Acres'!$L$92</f>
        <v>#DIV/0!</v>
      </c>
      <c r="L19" s="202" t="e">
        <f t="shared" si="0"/>
        <v>#DIV/0!</v>
      </c>
      <c r="M19" s="86" t="e">
        <f t="shared" si="1"/>
        <v>#DIV/0!</v>
      </c>
      <c r="N19" s="252" t="e">
        <f t="shared" si="2"/>
        <v>#DIV/0!</v>
      </c>
      <c r="R19" s="696"/>
      <c r="S19" s="698"/>
      <c r="T19" s="698"/>
      <c r="U19" s="698"/>
      <c r="V19" s="698"/>
      <c r="W19" s="698"/>
    </row>
    <row r="20" spans="1:23" x14ac:dyDescent="0.2">
      <c r="A20">
        <f t="shared" si="3"/>
        <v>17</v>
      </c>
      <c r="B20" s="17" t="s">
        <v>34</v>
      </c>
      <c r="C20" s="502"/>
      <c r="D20" s="93">
        <f t="shared" si="7"/>
        <v>0</v>
      </c>
      <c r="E20" s="93">
        <f t="shared" ref="E20:E25" si="8">E108</f>
        <v>0</v>
      </c>
      <c r="F20" s="30">
        <f t="shared" si="6"/>
        <v>0</v>
      </c>
      <c r="G20" s="18"/>
      <c r="H20" s="98" t="e">
        <f>F20/'Prdtn &amp; Acres'!$I$43</f>
        <v>#DIV/0!</v>
      </c>
      <c r="I20" s="82" t="e">
        <f>F20/'Prdtn &amp; Acres'!$I$45</f>
        <v>#DIV/0!</v>
      </c>
      <c r="J20" s="242" t="e">
        <f>F20/'Prdtn &amp; Acres'!$I$47</f>
        <v>#DIV/0!</v>
      </c>
      <c r="K20" s="148" t="e">
        <f>F20/'Prdtn &amp; Acres'!$L$92</f>
        <v>#DIV/0!</v>
      </c>
      <c r="L20" s="94" t="e">
        <f t="shared" si="0"/>
        <v>#DIV/0!</v>
      </c>
      <c r="M20" s="83" t="e">
        <f t="shared" si="1"/>
        <v>#DIV/0!</v>
      </c>
      <c r="N20" s="251" t="e">
        <f t="shared" si="2"/>
        <v>#DIV/0!</v>
      </c>
      <c r="R20" s="696"/>
      <c r="S20" s="698"/>
      <c r="T20" s="698"/>
      <c r="U20" s="698"/>
      <c r="V20" s="698"/>
      <c r="W20" s="698"/>
    </row>
    <row r="21" spans="1:23" x14ac:dyDescent="0.2">
      <c r="A21">
        <f t="shared" si="3"/>
        <v>18</v>
      </c>
      <c r="B21" s="17" t="s">
        <v>36</v>
      </c>
      <c r="C21" s="502"/>
      <c r="D21" s="93">
        <f t="shared" si="7"/>
        <v>0</v>
      </c>
      <c r="E21" s="93">
        <f t="shared" si="8"/>
        <v>0</v>
      </c>
      <c r="F21" s="30">
        <f t="shared" si="6"/>
        <v>0</v>
      </c>
      <c r="G21" s="18"/>
      <c r="H21" s="98" t="e">
        <f>F21/'Prdtn &amp; Acres'!$I$43</f>
        <v>#DIV/0!</v>
      </c>
      <c r="I21" s="82" t="e">
        <f>F21/'Prdtn &amp; Acres'!$I$45</f>
        <v>#DIV/0!</v>
      </c>
      <c r="J21" s="242" t="e">
        <f>F21/'Prdtn &amp; Acres'!$I$47</f>
        <v>#DIV/0!</v>
      </c>
      <c r="K21" s="148" t="e">
        <f>F21/'Prdtn &amp; Acres'!$L$92</f>
        <v>#DIV/0!</v>
      </c>
      <c r="L21" s="94" t="e">
        <f t="shared" si="0"/>
        <v>#DIV/0!</v>
      </c>
      <c r="M21" s="83" t="e">
        <f t="shared" si="1"/>
        <v>#DIV/0!</v>
      </c>
      <c r="N21" s="251" t="e">
        <f t="shared" si="2"/>
        <v>#DIV/0!</v>
      </c>
      <c r="R21" s="696"/>
      <c r="S21" s="698"/>
      <c r="T21" s="698"/>
      <c r="U21" s="698"/>
      <c r="V21" s="698"/>
      <c r="W21" s="698"/>
    </row>
    <row r="22" spans="1:23" x14ac:dyDescent="0.2">
      <c r="A22">
        <f t="shared" si="3"/>
        <v>19</v>
      </c>
      <c r="B22" s="17" t="s">
        <v>38</v>
      </c>
      <c r="C22" s="502"/>
      <c r="D22" s="93">
        <f t="shared" si="7"/>
        <v>0</v>
      </c>
      <c r="E22" s="93">
        <f t="shared" si="8"/>
        <v>0</v>
      </c>
      <c r="F22" s="30">
        <f t="shared" si="6"/>
        <v>0</v>
      </c>
      <c r="G22" s="18"/>
      <c r="H22" s="98" t="e">
        <f>F22/'Prdtn &amp; Acres'!$I$43</f>
        <v>#DIV/0!</v>
      </c>
      <c r="I22" s="82" t="e">
        <f>F22/'Prdtn &amp; Acres'!$I$45</f>
        <v>#DIV/0!</v>
      </c>
      <c r="J22" s="242" t="e">
        <f>F22/'Prdtn &amp; Acres'!$I$47</f>
        <v>#DIV/0!</v>
      </c>
      <c r="K22" s="148" t="e">
        <f>F22/'Prdtn &amp; Acres'!$L$92</f>
        <v>#DIV/0!</v>
      </c>
      <c r="L22" s="94" t="e">
        <f t="shared" si="0"/>
        <v>#DIV/0!</v>
      </c>
      <c r="M22" s="83" t="e">
        <f t="shared" si="1"/>
        <v>#DIV/0!</v>
      </c>
      <c r="N22" s="251" t="e">
        <f t="shared" si="2"/>
        <v>#DIV/0!</v>
      </c>
      <c r="R22" s="696"/>
      <c r="S22" s="698"/>
      <c r="T22" s="698"/>
      <c r="U22" s="698"/>
      <c r="V22" s="698"/>
      <c r="W22" s="698"/>
    </row>
    <row r="23" spans="1:23" x14ac:dyDescent="0.2">
      <c r="A23">
        <f t="shared" si="3"/>
        <v>20</v>
      </c>
      <c r="B23" s="107" t="s">
        <v>39</v>
      </c>
      <c r="C23" s="502"/>
      <c r="D23" s="106">
        <f t="shared" si="7"/>
        <v>0</v>
      </c>
      <c r="E23" s="106">
        <f t="shared" si="8"/>
        <v>0</v>
      </c>
      <c r="F23" s="66">
        <f t="shared" si="6"/>
        <v>0</v>
      </c>
      <c r="G23" s="18"/>
      <c r="H23" s="108" t="e">
        <f>F23/'Prdtn &amp; Acres'!$I$43</f>
        <v>#DIV/0!</v>
      </c>
      <c r="I23" s="67" t="e">
        <f>F23/'Prdtn &amp; Acres'!$I$45</f>
        <v>#DIV/0!</v>
      </c>
      <c r="J23" s="102" t="e">
        <f>F23/'Prdtn &amp; Acres'!$I$47</f>
        <v>#DIV/0!</v>
      </c>
      <c r="K23" s="149" t="e">
        <f>F23/'Prdtn &amp; Acres'!$L$92</f>
        <v>#DIV/0!</v>
      </c>
      <c r="L23" s="202" t="e">
        <f t="shared" si="0"/>
        <v>#DIV/0!</v>
      </c>
      <c r="M23" s="86" t="e">
        <f t="shared" si="1"/>
        <v>#DIV/0!</v>
      </c>
      <c r="N23" s="252" t="e">
        <f t="shared" si="2"/>
        <v>#DIV/0!</v>
      </c>
    </row>
    <row r="24" spans="1:23" x14ac:dyDescent="0.2">
      <c r="A24">
        <f t="shared" si="3"/>
        <v>21</v>
      </c>
      <c r="B24" s="17" t="s">
        <v>11</v>
      </c>
      <c r="C24" s="502"/>
      <c r="D24" s="93">
        <f t="shared" si="7"/>
        <v>0</v>
      </c>
      <c r="E24" s="93">
        <f t="shared" si="8"/>
        <v>0</v>
      </c>
      <c r="F24" s="30">
        <f t="shared" si="6"/>
        <v>0</v>
      </c>
      <c r="G24" s="18"/>
      <c r="H24" s="98" t="e">
        <f>F24/'Prdtn &amp; Acres'!$I$43</f>
        <v>#DIV/0!</v>
      </c>
      <c r="I24" s="82" t="e">
        <f>F24/'Prdtn &amp; Acres'!$I$45</f>
        <v>#DIV/0!</v>
      </c>
      <c r="J24" s="242" t="e">
        <f>F24/'Prdtn &amp; Acres'!$I$47</f>
        <v>#DIV/0!</v>
      </c>
      <c r="K24" s="148" t="e">
        <f>F24/'Prdtn &amp; Acres'!$L$92</f>
        <v>#DIV/0!</v>
      </c>
      <c r="L24" s="94" t="e">
        <f t="shared" si="0"/>
        <v>#DIV/0!</v>
      </c>
      <c r="M24" s="83" t="e">
        <f t="shared" si="1"/>
        <v>#DIV/0!</v>
      </c>
      <c r="N24" s="251" t="e">
        <f t="shared" si="2"/>
        <v>#DIV/0!</v>
      </c>
    </row>
    <row r="25" spans="1:23" x14ac:dyDescent="0.2">
      <c r="A25">
        <f t="shared" si="3"/>
        <v>22</v>
      </c>
      <c r="B25" s="17" t="s">
        <v>45</v>
      </c>
      <c r="C25" s="502"/>
      <c r="D25" s="93">
        <f t="shared" si="7"/>
        <v>0</v>
      </c>
      <c r="E25" s="244">
        <f t="shared" si="8"/>
        <v>0</v>
      </c>
      <c r="F25" s="30">
        <f t="shared" si="6"/>
        <v>0</v>
      </c>
      <c r="G25" s="18"/>
      <c r="H25" s="98" t="e">
        <f>F25/'Prdtn &amp; Acres'!$I$43</f>
        <v>#DIV/0!</v>
      </c>
      <c r="I25" s="82" t="e">
        <f>F25/'Prdtn &amp; Acres'!$I$45</f>
        <v>#DIV/0!</v>
      </c>
      <c r="J25" s="242" t="e">
        <f>F25/'Prdtn &amp; Acres'!$I$47</f>
        <v>#DIV/0!</v>
      </c>
      <c r="K25" s="148" t="e">
        <f>F25/'Prdtn &amp; Acres'!$L$92</f>
        <v>#DIV/0!</v>
      </c>
      <c r="L25" s="94" t="e">
        <f t="shared" si="0"/>
        <v>#DIV/0!</v>
      </c>
      <c r="M25" s="83" t="e">
        <f t="shared" si="1"/>
        <v>#DIV/0!</v>
      </c>
      <c r="N25" s="251" t="e">
        <f t="shared" si="2"/>
        <v>#DIV/0!</v>
      </c>
    </row>
    <row r="26" spans="1:23" x14ac:dyDescent="0.2">
      <c r="A26">
        <f t="shared" si="3"/>
        <v>23</v>
      </c>
      <c r="B26" s="17" t="s">
        <v>85</v>
      </c>
      <c r="C26" s="502"/>
      <c r="D26" s="93">
        <f>E72+E73</f>
        <v>0</v>
      </c>
      <c r="E26" s="93">
        <f>E114+E115</f>
        <v>0</v>
      </c>
      <c r="F26" s="30">
        <f>SUM(C26:E26)</f>
        <v>0</v>
      </c>
      <c r="G26" s="18"/>
      <c r="H26" s="98" t="e">
        <f>F26/'Prdtn &amp; Acres'!$I$43</f>
        <v>#DIV/0!</v>
      </c>
      <c r="I26" s="82" t="e">
        <f>F26/'Prdtn &amp; Acres'!$I$45</f>
        <v>#DIV/0!</v>
      </c>
      <c r="J26" s="242" t="e">
        <f>F26/'Prdtn &amp; Acres'!$I$47</f>
        <v>#DIV/0!</v>
      </c>
      <c r="K26" s="148" t="e">
        <f>F26/'Prdtn &amp; Acres'!$L$92</f>
        <v>#DIV/0!</v>
      </c>
      <c r="L26" s="94" t="e">
        <f>K26*2000</f>
        <v>#DIV/0!</v>
      </c>
      <c r="M26" s="83" t="e">
        <f>K26*42</f>
        <v>#DIV/0!</v>
      </c>
      <c r="N26" s="251" t="e">
        <f>K26*840</f>
        <v>#DIV/0!</v>
      </c>
    </row>
    <row r="27" spans="1:23" x14ac:dyDescent="0.2">
      <c r="A27">
        <f t="shared" si="3"/>
        <v>24</v>
      </c>
      <c r="B27" s="17" t="s">
        <v>410</v>
      </c>
      <c r="C27" s="502"/>
      <c r="D27" s="93">
        <f t="shared" ref="D27:D34" si="9">E74</f>
        <v>0</v>
      </c>
      <c r="E27" s="93">
        <f t="shared" ref="E27:E37" si="10">E116</f>
        <v>0</v>
      </c>
      <c r="F27" s="30">
        <f>SUM(C27:E27)</f>
        <v>0</v>
      </c>
      <c r="G27" s="18"/>
      <c r="H27" s="98" t="e">
        <f>F27/'Prdtn &amp; Acres'!$I$43</f>
        <v>#DIV/0!</v>
      </c>
      <c r="I27" s="82" t="e">
        <f>F27/'Prdtn &amp; Acres'!$I$45</f>
        <v>#DIV/0!</v>
      </c>
      <c r="J27" s="242" t="e">
        <f>F27/'Prdtn &amp; Acres'!$I$47</f>
        <v>#DIV/0!</v>
      </c>
      <c r="K27" s="148" t="e">
        <f>F27/'Prdtn &amp; Acres'!$L$92</f>
        <v>#DIV/0!</v>
      </c>
      <c r="L27" s="94" t="e">
        <f>K27*2000</f>
        <v>#DIV/0!</v>
      </c>
      <c r="M27" s="83" t="e">
        <f>K27*42</f>
        <v>#DIV/0!</v>
      </c>
      <c r="N27" s="251" t="e">
        <f>K27*840</f>
        <v>#DIV/0!</v>
      </c>
    </row>
    <row r="28" spans="1:23" x14ac:dyDescent="0.2">
      <c r="A28">
        <f t="shared" si="3"/>
        <v>25</v>
      </c>
      <c r="B28" s="107" t="s">
        <v>63</v>
      </c>
      <c r="C28" s="502"/>
      <c r="D28" s="106">
        <f t="shared" si="9"/>
        <v>0</v>
      </c>
      <c r="E28" s="106">
        <f t="shared" si="10"/>
        <v>0</v>
      </c>
      <c r="F28" s="66">
        <f t="shared" si="6"/>
        <v>0</v>
      </c>
      <c r="G28" s="18"/>
      <c r="H28" s="108" t="e">
        <f>F28/'Prdtn &amp; Acres'!$I$43</f>
        <v>#DIV/0!</v>
      </c>
      <c r="I28" s="67" t="e">
        <f>F28/'Prdtn &amp; Acres'!$I$45</f>
        <v>#DIV/0!</v>
      </c>
      <c r="J28" s="102" t="e">
        <f>F28/'Prdtn &amp; Acres'!$I$47</f>
        <v>#DIV/0!</v>
      </c>
      <c r="K28" s="149" t="e">
        <f>F28/'Prdtn &amp; Acres'!$L$92</f>
        <v>#DIV/0!</v>
      </c>
      <c r="L28" s="202" t="e">
        <f t="shared" si="0"/>
        <v>#DIV/0!</v>
      </c>
      <c r="M28" s="86" t="e">
        <f t="shared" si="1"/>
        <v>#DIV/0!</v>
      </c>
      <c r="N28" s="252" t="e">
        <f t="shared" si="2"/>
        <v>#DIV/0!</v>
      </c>
    </row>
    <row r="29" spans="1:23" x14ac:dyDescent="0.2">
      <c r="A29">
        <f t="shared" si="3"/>
        <v>26</v>
      </c>
      <c r="B29" s="17" t="s">
        <v>64</v>
      </c>
      <c r="C29" s="502"/>
      <c r="D29" s="93">
        <f t="shared" si="9"/>
        <v>0</v>
      </c>
      <c r="E29" s="93">
        <f t="shared" si="10"/>
        <v>0</v>
      </c>
      <c r="F29" s="30">
        <f t="shared" si="6"/>
        <v>0</v>
      </c>
      <c r="G29" s="18"/>
      <c r="H29" s="98" t="e">
        <f>F29/'Prdtn &amp; Acres'!$I$43</f>
        <v>#DIV/0!</v>
      </c>
      <c r="I29" s="82" t="e">
        <f>F29/'Prdtn &amp; Acres'!$I$45</f>
        <v>#DIV/0!</v>
      </c>
      <c r="J29" s="242" t="e">
        <f>F29/'Prdtn &amp; Acres'!$I$47</f>
        <v>#DIV/0!</v>
      </c>
      <c r="K29" s="148" t="e">
        <f>F29/'Prdtn &amp; Acres'!$L$92</f>
        <v>#DIV/0!</v>
      </c>
      <c r="L29" s="94" t="e">
        <f t="shared" si="0"/>
        <v>#DIV/0!</v>
      </c>
      <c r="M29" s="83" t="e">
        <f t="shared" si="1"/>
        <v>#DIV/0!</v>
      </c>
      <c r="N29" s="251" t="e">
        <f t="shared" si="2"/>
        <v>#DIV/0!</v>
      </c>
    </row>
    <row r="30" spans="1:23" x14ac:dyDescent="0.2">
      <c r="A30">
        <f t="shared" si="3"/>
        <v>27</v>
      </c>
      <c r="B30" s="17" t="s">
        <v>40</v>
      </c>
      <c r="C30" s="502"/>
      <c r="D30" s="93">
        <f t="shared" si="9"/>
        <v>0</v>
      </c>
      <c r="E30" s="93">
        <f t="shared" si="10"/>
        <v>0</v>
      </c>
      <c r="F30" s="30">
        <f t="shared" si="6"/>
        <v>0</v>
      </c>
      <c r="G30" s="18"/>
      <c r="H30" s="98" t="e">
        <f>F30/'Prdtn &amp; Acres'!$I$43</f>
        <v>#DIV/0!</v>
      </c>
      <c r="I30" s="82" t="e">
        <f>F30/'Prdtn &amp; Acres'!$I$45</f>
        <v>#DIV/0!</v>
      </c>
      <c r="J30" s="242" t="e">
        <f>F30/'Prdtn &amp; Acres'!$I$47</f>
        <v>#DIV/0!</v>
      </c>
      <c r="K30" s="148" t="e">
        <f>F30/'Prdtn &amp; Acres'!$L$92</f>
        <v>#DIV/0!</v>
      </c>
      <c r="L30" s="94" t="e">
        <f t="shared" si="0"/>
        <v>#DIV/0!</v>
      </c>
      <c r="M30" s="83" t="e">
        <f t="shared" si="1"/>
        <v>#DIV/0!</v>
      </c>
      <c r="N30" s="251" t="e">
        <f t="shared" si="2"/>
        <v>#DIV/0!</v>
      </c>
    </row>
    <row r="31" spans="1:23" x14ac:dyDescent="0.2">
      <c r="A31">
        <f t="shared" si="3"/>
        <v>28</v>
      </c>
      <c r="B31" s="107" t="s">
        <v>41</v>
      </c>
      <c r="C31" s="502"/>
      <c r="D31" s="106">
        <f t="shared" si="9"/>
        <v>0</v>
      </c>
      <c r="E31" s="106">
        <f t="shared" si="10"/>
        <v>0</v>
      </c>
      <c r="F31" s="66">
        <f t="shared" si="6"/>
        <v>0</v>
      </c>
      <c r="G31" s="18"/>
      <c r="H31" s="108" t="e">
        <f>F31/'Prdtn &amp; Acres'!$I$43</f>
        <v>#DIV/0!</v>
      </c>
      <c r="I31" s="67" t="e">
        <f>F31/'Prdtn &amp; Acres'!$I$45</f>
        <v>#DIV/0!</v>
      </c>
      <c r="J31" s="102" t="e">
        <f>F31/'Prdtn &amp; Acres'!$I$47</f>
        <v>#DIV/0!</v>
      </c>
      <c r="K31" s="149" t="e">
        <f>F31/'Prdtn &amp; Acres'!$L$92</f>
        <v>#DIV/0!</v>
      </c>
      <c r="L31" s="202" t="e">
        <f t="shared" si="0"/>
        <v>#DIV/0!</v>
      </c>
      <c r="M31" s="86" t="e">
        <f t="shared" si="1"/>
        <v>#DIV/0!</v>
      </c>
      <c r="N31" s="252" t="e">
        <f t="shared" si="2"/>
        <v>#DIV/0!</v>
      </c>
    </row>
    <row r="32" spans="1:23" x14ac:dyDescent="0.2">
      <c r="A32">
        <f t="shared" si="3"/>
        <v>29</v>
      </c>
      <c r="B32" s="17" t="s">
        <v>62</v>
      </c>
      <c r="C32" s="502"/>
      <c r="D32" s="93">
        <f t="shared" si="9"/>
        <v>0</v>
      </c>
      <c r="E32" s="93">
        <f t="shared" si="10"/>
        <v>0</v>
      </c>
      <c r="F32" s="30">
        <f t="shared" si="6"/>
        <v>0</v>
      </c>
      <c r="G32" s="18"/>
      <c r="H32" s="98" t="e">
        <f>F32/'Prdtn &amp; Acres'!$I$43</f>
        <v>#DIV/0!</v>
      </c>
      <c r="I32" s="82" t="e">
        <f>F32/'Prdtn &amp; Acres'!$I$45</f>
        <v>#DIV/0!</v>
      </c>
      <c r="J32" s="242" t="e">
        <f>F32/'Prdtn &amp; Acres'!$I$47</f>
        <v>#DIV/0!</v>
      </c>
      <c r="K32" s="148" t="e">
        <f>F32/'Prdtn &amp; Acres'!$L$92</f>
        <v>#DIV/0!</v>
      </c>
      <c r="L32" s="94" t="e">
        <f t="shared" si="0"/>
        <v>#DIV/0!</v>
      </c>
      <c r="M32" s="83" t="e">
        <f t="shared" si="1"/>
        <v>#DIV/0!</v>
      </c>
      <c r="N32" s="251" t="e">
        <f t="shared" si="2"/>
        <v>#DIV/0!</v>
      </c>
    </row>
    <row r="33" spans="1:14" x14ac:dyDescent="0.2">
      <c r="A33">
        <f t="shared" si="3"/>
        <v>30</v>
      </c>
      <c r="B33" s="17" t="s">
        <v>624</v>
      </c>
      <c r="C33" s="502"/>
      <c r="D33" s="93">
        <f t="shared" si="9"/>
        <v>0</v>
      </c>
      <c r="E33" s="93">
        <f t="shared" si="10"/>
        <v>0</v>
      </c>
      <c r="F33" s="30">
        <f t="shared" si="6"/>
        <v>0</v>
      </c>
      <c r="G33" s="18"/>
      <c r="H33" s="98" t="e">
        <f>F33/'Prdtn &amp; Acres'!$I$43</f>
        <v>#DIV/0!</v>
      </c>
      <c r="I33" s="82" t="e">
        <f>F33/'Prdtn &amp; Acres'!$I$45</f>
        <v>#DIV/0!</v>
      </c>
      <c r="J33" s="242" t="e">
        <f>F33/'Prdtn &amp; Acres'!$I$47</f>
        <v>#DIV/0!</v>
      </c>
      <c r="K33" s="148" t="e">
        <f>F33/'Prdtn &amp; Acres'!$L$92</f>
        <v>#DIV/0!</v>
      </c>
      <c r="L33" s="94" t="e">
        <f t="shared" si="0"/>
        <v>#DIV/0!</v>
      </c>
      <c r="M33" s="83" t="e">
        <f>K33*42</f>
        <v>#DIV/0!</v>
      </c>
      <c r="N33" s="251" t="e">
        <f>K33*840</f>
        <v>#DIV/0!</v>
      </c>
    </row>
    <row r="34" spans="1:14" x14ac:dyDescent="0.2">
      <c r="A34">
        <f t="shared" si="3"/>
        <v>31</v>
      </c>
      <c r="B34" s="17" t="s">
        <v>504</v>
      </c>
      <c r="C34" s="502"/>
      <c r="D34" s="93">
        <f t="shared" si="9"/>
        <v>0</v>
      </c>
      <c r="E34" s="93">
        <f t="shared" si="10"/>
        <v>0</v>
      </c>
      <c r="F34" s="30">
        <f t="shared" si="6"/>
        <v>0</v>
      </c>
      <c r="G34" s="18"/>
      <c r="H34" s="98" t="e">
        <f>F34/'Prdtn &amp; Acres'!$I$43</f>
        <v>#DIV/0!</v>
      </c>
      <c r="I34" s="82" t="e">
        <f>F34/'Prdtn &amp; Acres'!$I$45</f>
        <v>#DIV/0!</v>
      </c>
      <c r="J34" s="242" t="e">
        <f>F34/'Prdtn &amp; Acres'!$I$47</f>
        <v>#DIV/0!</v>
      </c>
      <c r="K34" s="148" t="e">
        <f>F34/'Prdtn &amp; Acres'!$L$92</f>
        <v>#DIV/0!</v>
      </c>
      <c r="L34" s="94" t="e">
        <f t="shared" si="0"/>
        <v>#DIV/0!</v>
      </c>
      <c r="M34" s="83" t="e">
        <f t="shared" si="1"/>
        <v>#DIV/0!</v>
      </c>
      <c r="N34" s="251" t="e">
        <f t="shared" si="2"/>
        <v>#DIV/0!</v>
      </c>
    </row>
    <row r="35" spans="1:14" x14ac:dyDescent="0.2">
      <c r="A35">
        <f t="shared" si="3"/>
        <v>32</v>
      </c>
      <c r="B35" s="17" t="s">
        <v>42</v>
      </c>
      <c r="C35" s="502"/>
      <c r="D35" s="93"/>
      <c r="E35" s="93">
        <f t="shared" si="10"/>
        <v>0</v>
      </c>
      <c r="F35" s="30">
        <f t="shared" si="6"/>
        <v>0</v>
      </c>
      <c r="G35" s="18"/>
      <c r="H35" s="98" t="e">
        <f>F35/'Prdtn &amp; Acres'!$I$43</f>
        <v>#DIV/0!</v>
      </c>
      <c r="I35" s="82" t="e">
        <f>F35/'Prdtn &amp; Acres'!$I$45</f>
        <v>#DIV/0!</v>
      </c>
      <c r="J35" s="242" t="e">
        <f>F35/'Prdtn &amp; Acres'!$I$47</f>
        <v>#DIV/0!</v>
      </c>
      <c r="K35" s="148" t="e">
        <f>F35/'Prdtn &amp; Acres'!$L$92</f>
        <v>#DIV/0!</v>
      </c>
      <c r="L35" s="94" t="e">
        <f t="shared" si="0"/>
        <v>#DIV/0!</v>
      </c>
      <c r="M35" s="83" t="e">
        <f t="shared" si="1"/>
        <v>#DIV/0!</v>
      </c>
      <c r="N35" s="251" t="e">
        <f t="shared" si="2"/>
        <v>#DIV/0!</v>
      </c>
    </row>
    <row r="36" spans="1:14" x14ac:dyDescent="0.2">
      <c r="A36">
        <f t="shared" si="3"/>
        <v>33</v>
      </c>
      <c r="B36" s="17" t="s">
        <v>43</v>
      </c>
      <c r="C36" s="502"/>
      <c r="D36" s="93">
        <f>E82</f>
        <v>0</v>
      </c>
      <c r="E36" s="93">
        <f t="shared" si="10"/>
        <v>0</v>
      </c>
      <c r="F36" s="30">
        <f t="shared" si="6"/>
        <v>0</v>
      </c>
      <c r="G36" s="18"/>
      <c r="H36" s="98" t="e">
        <f>F36/'Prdtn &amp; Acres'!$I$43</f>
        <v>#DIV/0!</v>
      </c>
      <c r="I36" s="82" t="e">
        <f>F36/'Prdtn &amp; Acres'!$I$45</f>
        <v>#DIV/0!</v>
      </c>
      <c r="J36" s="242" t="e">
        <f>F36/'Prdtn &amp; Acres'!$I$47</f>
        <v>#DIV/0!</v>
      </c>
      <c r="K36" s="148" t="e">
        <f>F36/'Prdtn &amp; Acres'!$L$92</f>
        <v>#DIV/0!</v>
      </c>
      <c r="L36" s="94" t="e">
        <f t="shared" si="0"/>
        <v>#DIV/0!</v>
      </c>
      <c r="M36" s="83" t="e">
        <f t="shared" si="1"/>
        <v>#DIV/0!</v>
      </c>
      <c r="N36" s="251" t="e">
        <f t="shared" si="2"/>
        <v>#DIV/0!</v>
      </c>
    </row>
    <row r="37" spans="1:14" x14ac:dyDescent="0.2">
      <c r="A37">
        <f t="shared" si="3"/>
        <v>34</v>
      </c>
      <c r="B37" s="107" t="s">
        <v>44</v>
      </c>
      <c r="C37" s="438"/>
      <c r="D37" s="106">
        <f>E83</f>
        <v>0</v>
      </c>
      <c r="E37" s="106">
        <f t="shared" si="10"/>
        <v>0</v>
      </c>
      <c r="F37" s="66">
        <f t="shared" si="6"/>
        <v>0</v>
      </c>
      <c r="G37" s="18"/>
      <c r="H37" s="108" t="e">
        <f>F37/'Prdtn &amp; Acres'!$I$43</f>
        <v>#DIV/0!</v>
      </c>
      <c r="I37" s="67" t="e">
        <f>F37/'Prdtn &amp; Acres'!$I$45</f>
        <v>#DIV/0!</v>
      </c>
      <c r="J37" s="102" t="e">
        <f>F37/'Prdtn &amp; Acres'!$I$47</f>
        <v>#DIV/0!</v>
      </c>
      <c r="K37" s="149" t="e">
        <f>F37/'Prdtn &amp; Acres'!$L$92</f>
        <v>#DIV/0!</v>
      </c>
      <c r="L37" s="202" t="e">
        <f t="shared" si="0"/>
        <v>#DIV/0!</v>
      </c>
      <c r="M37" s="86" t="e">
        <f t="shared" si="1"/>
        <v>#DIV/0!</v>
      </c>
      <c r="N37" s="252" t="e">
        <f t="shared" si="2"/>
        <v>#DIV/0!</v>
      </c>
    </row>
    <row r="38" spans="1:14" x14ac:dyDescent="0.2">
      <c r="B38" s="19" t="s">
        <v>46</v>
      </c>
      <c r="C38" s="14">
        <f>SUM(C7,C15,C16:C37)</f>
        <v>0</v>
      </c>
      <c r="D38" s="14">
        <f>SUM(D7,D15,D16:D37)</f>
        <v>0</v>
      </c>
      <c r="E38" s="14">
        <f>SUM(E7,E15,E16:E37)</f>
        <v>0</v>
      </c>
      <c r="F38" s="14">
        <f>SUM(F7,F15,F16:F37)</f>
        <v>0</v>
      </c>
      <c r="G38" s="18"/>
      <c r="H38" s="99" t="e">
        <f>F38/'Prdtn &amp; Acres'!$I$43</f>
        <v>#DIV/0!</v>
      </c>
      <c r="I38" s="14" t="e">
        <f>F38/'Prdtn &amp; Acres'!$I$45</f>
        <v>#DIV/0!</v>
      </c>
      <c r="J38" s="641" t="e">
        <f>F38/'Prdtn &amp; Acres'!$I$47</f>
        <v>#DIV/0!</v>
      </c>
      <c r="K38" s="239" t="e">
        <f>F38/'Prdtn &amp; Acres'!$L$92</f>
        <v>#DIV/0!</v>
      </c>
      <c r="L38" s="240" t="e">
        <f t="shared" si="0"/>
        <v>#DIV/0!</v>
      </c>
      <c r="M38" s="85" t="e">
        <f t="shared" si="1"/>
        <v>#DIV/0!</v>
      </c>
      <c r="N38" s="254" t="e">
        <f t="shared" si="2"/>
        <v>#DIV/0!</v>
      </c>
    </row>
    <row r="39" spans="1:14" x14ac:dyDescent="0.2">
      <c r="B39" s="17" t="s">
        <v>71</v>
      </c>
      <c r="C39" s="241" t="s">
        <v>558</v>
      </c>
      <c r="D39" s="364"/>
      <c r="E39" s="88"/>
      <c r="F39" s="438"/>
      <c r="G39" s="93"/>
      <c r="H39" s="98" t="e">
        <f>F39/'Prdtn &amp; Acres'!$I$43</f>
        <v>#DIV/0!</v>
      </c>
      <c r="I39" s="82" t="e">
        <f>F39/'Prdtn &amp; Acres'!$I$45</f>
        <v>#DIV/0!</v>
      </c>
      <c r="J39" s="242" t="e">
        <f>F39/'Prdtn &amp; Acres'!$I$47</f>
        <v>#DIV/0!</v>
      </c>
      <c r="K39" s="148" t="e">
        <f>F39/'Prdtn &amp; Acres'!$L$92</f>
        <v>#DIV/0!</v>
      </c>
      <c r="L39" s="94" t="e">
        <f t="shared" si="0"/>
        <v>#DIV/0!</v>
      </c>
      <c r="M39" s="83" t="e">
        <f t="shared" si="1"/>
        <v>#DIV/0!</v>
      </c>
      <c r="N39" s="251" t="e">
        <f t="shared" si="2"/>
        <v>#DIV/0!</v>
      </c>
    </row>
    <row r="40" spans="1:14" x14ac:dyDescent="0.2">
      <c r="B40" s="17" t="s">
        <v>72</v>
      </c>
      <c r="C40" s="245" t="s">
        <v>558</v>
      </c>
      <c r="D40" s="18"/>
      <c r="E40" s="88"/>
      <c r="F40" s="502"/>
      <c r="G40" s="18"/>
      <c r="H40" s="98" t="e">
        <f>F40/'Prdtn &amp; Acres'!$I$43</f>
        <v>#DIV/0!</v>
      </c>
      <c r="I40" s="82" t="e">
        <f>F40/'Prdtn &amp; Acres'!$I$45</f>
        <v>#DIV/0!</v>
      </c>
      <c r="J40" s="242" t="e">
        <f>F40/'Prdtn &amp; Acres'!$I$47</f>
        <v>#DIV/0!</v>
      </c>
      <c r="K40" s="148" t="e">
        <f>F40/'Prdtn &amp; Acres'!$L$92</f>
        <v>#DIV/0!</v>
      </c>
      <c r="L40" s="94" t="e">
        <f t="shared" si="0"/>
        <v>#DIV/0!</v>
      </c>
      <c r="M40" s="83" t="e">
        <f t="shared" si="1"/>
        <v>#DIV/0!</v>
      </c>
      <c r="N40" s="251" t="e">
        <f t="shared" si="2"/>
        <v>#DIV/0!</v>
      </c>
    </row>
    <row r="41" spans="1:14" x14ac:dyDescent="0.2">
      <c r="B41" s="17" t="s">
        <v>73</v>
      </c>
      <c r="C41" s="245" t="s">
        <v>558</v>
      </c>
      <c r="D41" s="784" t="s">
        <v>529</v>
      </c>
      <c r="E41" s="785"/>
      <c r="F41" s="503"/>
      <c r="G41" s="18"/>
      <c r="H41" s="98" t="e">
        <f>F41/'Prdtn &amp; Acres'!$I$43</f>
        <v>#DIV/0!</v>
      </c>
      <c r="I41" s="82" t="e">
        <f>F41/'Prdtn &amp; Acres'!$I$45</f>
        <v>#DIV/0!</v>
      </c>
      <c r="J41" s="242" t="e">
        <f>F41/'Prdtn &amp; Acres'!$I$47</f>
        <v>#DIV/0!</v>
      </c>
      <c r="K41" s="148" t="e">
        <f>F41/'Prdtn &amp; Acres'!$L$92</f>
        <v>#DIV/0!</v>
      </c>
      <c r="L41" s="94" t="e">
        <f t="shared" si="0"/>
        <v>#DIV/0!</v>
      </c>
      <c r="M41" s="83" t="e">
        <f t="shared" si="1"/>
        <v>#DIV/0!</v>
      </c>
      <c r="N41" s="251" t="e">
        <f t="shared" si="2"/>
        <v>#DIV/0!</v>
      </c>
    </row>
    <row r="42" spans="1:14" x14ac:dyDescent="0.2">
      <c r="B42" s="19" t="s">
        <v>559</v>
      </c>
      <c r="C42" s="14">
        <f>SUM(C38,F39:F41)</f>
        <v>0</v>
      </c>
      <c r="D42" s="504"/>
      <c r="E42" s="96" t="s">
        <v>834</v>
      </c>
      <c r="F42" s="14">
        <f>SUM(F38:F41)</f>
        <v>0</v>
      </c>
      <c r="G42" s="18"/>
      <c r="H42" s="99" t="e">
        <f>F42/'Prdtn &amp; Acres'!$I$43</f>
        <v>#DIV/0!</v>
      </c>
      <c r="I42" s="14" t="e">
        <f>F42/'Prdtn &amp; Acres'!$I$45</f>
        <v>#DIV/0!</v>
      </c>
      <c r="J42" s="641" t="e">
        <f>F42/'Prdtn &amp; Acres'!$I$47</f>
        <v>#DIV/0!</v>
      </c>
      <c r="K42" s="239" t="e">
        <f>F42/'Prdtn &amp; Acres'!$L$92</f>
        <v>#DIV/0!</v>
      </c>
      <c r="L42" s="240" t="e">
        <f t="shared" si="0"/>
        <v>#DIV/0!</v>
      </c>
      <c r="M42" s="85" t="e">
        <f t="shared" si="1"/>
        <v>#DIV/0!</v>
      </c>
      <c r="N42" s="254" t="e">
        <f t="shared" si="2"/>
        <v>#DIV/0!</v>
      </c>
    </row>
    <row r="43" spans="1:14" x14ac:dyDescent="0.2">
      <c r="B43" s="19" t="s">
        <v>416</v>
      </c>
      <c r="C43" s="30">
        <f>'Mo. Labor'!C39</f>
        <v>0</v>
      </c>
      <c r="D43" s="374">
        <f>D42-C42</f>
        <v>0</v>
      </c>
      <c r="E43" s="375" t="s">
        <v>791</v>
      </c>
      <c r="F43" s="30">
        <f>C43</f>
        <v>0</v>
      </c>
      <c r="G43" s="18"/>
      <c r="H43" s="98" t="e">
        <f>F43/'Prdtn &amp; Acres'!$I$43</f>
        <v>#DIV/0!</v>
      </c>
      <c r="I43" s="82" t="e">
        <f>F43/'Prdtn &amp; Acres'!$I$45</f>
        <v>#DIV/0!</v>
      </c>
      <c r="J43" s="242" t="e">
        <f>F43/'Prdtn &amp; Acres'!$I$47</f>
        <v>#DIV/0!</v>
      </c>
      <c r="K43" s="168" t="e">
        <f>'Mo. Labor'!C39/'Prdtn &amp; Acres'!L92</f>
        <v>#DIV/0!</v>
      </c>
      <c r="L43" s="94" t="e">
        <f t="shared" si="0"/>
        <v>#DIV/0!</v>
      </c>
      <c r="M43" s="83" t="e">
        <f>'Mo. Labor'!C39/'Prdtn &amp; Acres'!C55</f>
        <v>#DIV/0!</v>
      </c>
      <c r="N43" s="251" t="e">
        <f>M43*20</f>
        <v>#DIV/0!</v>
      </c>
    </row>
    <row r="44" spans="1:14" x14ac:dyDescent="0.2">
      <c r="B44" s="19" t="s">
        <v>417</v>
      </c>
      <c r="C44" s="28">
        <f>SUM(C42:C43)</f>
        <v>0</v>
      </c>
      <c r="D44" s="376">
        <f>D42-C44</f>
        <v>0</v>
      </c>
      <c r="E44" s="377" t="s">
        <v>790</v>
      </c>
      <c r="F44" s="14">
        <f>SUM(F42:F43)</f>
        <v>0</v>
      </c>
      <c r="G44" s="18"/>
      <c r="H44" s="100" t="e">
        <f>F44/'Prdtn &amp; Acres'!$I$43</f>
        <v>#DIV/0!</v>
      </c>
      <c r="I44" s="25" t="e">
        <f>F44/'Prdtn &amp; Acres'!$I$45</f>
        <v>#DIV/0!</v>
      </c>
      <c r="J44" s="92" t="e">
        <f>F44/'Prdtn &amp; Acres'!$I$47</f>
        <v>#DIV/0!</v>
      </c>
      <c r="K44" s="276" t="e">
        <f>K42+K43</f>
        <v>#DIV/0!</v>
      </c>
      <c r="L44" s="84" t="e">
        <f t="shared" si="0"/>
        <v>#DIV/0!</v>
      </c>
      <c r="M44" s="84" t="e">
        <f>M42+M43</f>
        <v>#DIV/0!</v>
      </c>
      <c r="N44" s="255" t="e">
        <f>N42+N43</f>
        <v>#DIV/0!</v>
      </c>
    </row>
    <row r="45" spans="1:14" x14ac:dyDescent="0.2">
      <c r="B45" s="4"/>
      <c r="C45" s="7"/>
      <c r="D45" s="90"/>
      <c r="E45" s="60"/>
      <c r="F45" s="483"/>
      <c r="G45" s="68" t="s">
        <v>835</v>
      </c>
    </row>
    <row r="46" spans="1:14" x14ac:dyDescent="0.2">
      <c r="B46" s="26" t="s">
        <v>528</v>
      </c>
      <c r="C46" s="219"/>
      <c r="D46" s="95"/>
      <c r="E46" s="789" t="s">
        <v>772</v>
      </c>
      <c r="F46" s="790"/>
      <c r="G46" s="790"/>
      <c r="H46" s="790"/>
      <c r="I46" s="790"/>
    </row>
    <row r="47" spans="1:14" x14ac:dyDescent="0.2">
      <c r="B47" s="29" t="s">
        <v>48</v>
      </c>
      <c r="C47" s="312"/>
      <c r="D47" s="96"/>
      <c r="E47" s="791">
        <f>259719-152099</f>
        <v>107620</v>
      </c>
      <c r="F47" s="792"/>
      <c r="G47" s="792"/>
      <c r="H47" s="792"/>
      <c r="I47" s="792"/>
      <c r="K47" s="378"/>
      <c r="L47" t="s">
        <v>784</v>
      </c>
    </row>
    <row r="48" spans="1:14" x14ac:dyDescent="0.2">
      <c r="B48" s="29" t="s">
        <v>49</v>
      </c>
      <c r="C48" s="312"/>
      <c r="D48" s="96"/>
      <c r="E48" s="793"/>
      <c r="F48" s="794"/>
      <c r="G48" s="794"/>
      <c r="H48" s="794"/>
      <c r="I48" s="794"/>
      <c r="K48" s="379"/>
      <c r="L48" t="s">
        <v>785</v>
      </c>
    </row>
    <row r="49" spans="2:13" x14ac:dyDescent="0.2">
      <c r="B49" s="29" t="s">
        <v>50</v>
      </c>
      <c r="C49" s="312"/>
      <c r="D49" s="96"/>
      <c r="E49" s="793"/>
      <c r="F49" s="795"/>
      <c r="G49" s="795"/>
      <c r="H49" s="795"/>
      <c r="I49" s="795"/>
      <c r="K49" s="379"/>
      <c r="L49" t="s">
        <v>786</v>
      </c>
    </row>
    <row r="50" spans="2:13" x14ac:dyDescent="0.2">
      <c r="B50" s="37" t="s">
        <v>74</v>
      </c>
      <c r="C50" s="25">
        <f>SUM(C47:C49)</f>
        <v>0</v>
      </c>
      <c r="D50" s="101"/>
      <c r="E50" s="788"/>
      <c r="F50" s="766"/>
      <c r="G50" s="766"/>
      <c r="H50" s="766"/>
      <c r="I50" s="766"/>
      <c r="K50" s="7">
        <f>SUM(K47:K49)</f>
        <v>0</v>
      </c>
      <c r="L50" t="s">
        <v>787</v>
      </c>
    </row>
    <row r="51" spans="2:13" x14ac:dyDescent="0.2">
      <c r="B51" s="36"/>
      <c r="C51" s="2"/>
    </row>
    <row r="52" spans="2:13" x14ac:dyDescent="0.2">
      <c r="B52" s="8" t="s">
        <v>353</v>
      </c>
      <c r="H52" s="783" t="s">
        <v>793</v>
      </c>
      <c r="I52" s="772"/>
      <c r="J52" s="772"/>
      <c r="K52" s="772"/>
      <c r="L52" s="772"/>
      <c r="M52" s="772"/>
    </row>
    <row r="53" spans="2:13" x14ac:dyDescent="0.2">
      <c r="B53" s="153" t="s">
        <v>782</v>
      </c>
      <c r="C53" s="260" t="s">
        <v>55</v>
      </c>
      <c r="D53" s="260" t="s">
        <v>54</v>
      </c>
      <c r="E53" s="329" t="s">
        <v>56</v>
      </c>
      <c r="F53" s="189"/>
      <c r="H53" s="610"/>
      <c r="I53" s="610"/>
      <c r="J53" s="610"/>
      <c r="K53" s="610"/>
      <c r="L53" s="610"/>
      <c r="M53" s="610"/>
    </row>
    <row r="54" spans="2:13" x14ac:dyDescent="0.2">
      <c r="B54" s="72" t="s">
        <v>51</v>
      </c>
      <c r="C54" s="505">
        <f>D54+364</f>
        <v>42004</v>
      </c>
      <c r="D54" s="509">
        <f>'Farm Info'!C19</f>
        <v>41640</v>
      </c>
      <c r="E54" s="330" t="s">
        <v>75</v>
      </c>
      <c r="F54" s="189"/>
      <c r="H54" s="610"/>
      <c r="I54" s="610"/>
      <c r="J54" s="610"/>
      <c r="K54" s="610"/>
      <c r="L54" s="610"/>
      <c r="M54" s="610"/>
    </row>
    <row r="55" spans="2:13" x14ac:dyDescent="0.2">
      <c r="B55" s="224" t="s">
        <v>534</v>
      </c>
      <c r="C55" s="354"/>
      <c r="D55" s="354"/>
      <c r="E55" s="331">
        <f>D55-C55</f>
        <v>0</v>
      </c>
      <c r="F55" s="220"/>
      <c r="H55" s="610"/>
      <c r="I55" s="610"/>
      <c r="J55" s="610"/>
      <c r="K55" s="610"/>
      <c r="L55" s="610"/>
      <c r="M55" s="610"/>
    </row>
    <row r="56" spans="2:13" x14ac:dyDescent="0.2">
      <c r="B56" s="225" t="s">
        <v>535</v>
      </c>
      <c r="C56" s="354"/>
      <c r="D56" s="506"/>
      <c r="E56" s="332">
        <f>D56-C56</f>
        <v>0</v>
      </c>
      <c r="F56" s="220"/>
      <c r="H56" s="610"/>
      <c r="I56" s="610"/>
      <c r="J56" s="610"/>
      <c r="K56" s="610"/>
      <c r="L56" s="610"/>
      <c r="M56" s="610"/>
    </row>
    <row r="57" spans="2:13" x14ac:dyDescent="0.2">
      <c r="B57" s="32" t="s">
        <v>625</v>
      </c>
      <c r="C57" s="354"/>
      <c r="D57" s="354"/>
      <c r="E57" s="331">
        <f>D57-C57</f>
        <v>0</v>
      </c>
      <c r="F57" s="8"/>
      <c r="H57" s="610"/>
      <c r="I57" s="610"/>
      <c r="J57" s="610"/>
      <c r="K57" s="610"/>
      <c r="L57" s="610"/>
      <c r="M57" s="610"/>
    </row>
    <row r="58" spans="2:13" x14ac:dyDescent="0.2">
      <c r="B58" s="29" t="s">
        <v>28</v>
      </c>
      <c r="C58" s="354"/>
      <c r="D58" s="506"/>
      <c r="E58" s="333">
        <f t="shared" ref="E58:E84" si="11">D58-C58</f>
        <v>0</v>
      </c>
      <c r="F58" s="8"/>
      <c r="H58" s="610"/>
      <c r="I58" s="610"/>
      <c r="J58" s="610"/>
      <c r="K58" s="610"/>
      <c r="L58" s="610"/>
      <c r="M58" s="610"/>
    </row>
    <row r="59" spans="2:13" x14ac:dyDescent="0.2">
      <c r="B59" s="29" t="s">
        <v>30</v>
      </c>
      <c r="C59" s="506"/>
      <c r="D59" s="506"/>
      <c r="E59" s="333">
        <f t="shared" si="11"/>
        <v>0</v>
      </c>
      <c r="F59" s="8"/>
      <c r="H59" s="610"/>
      <c r="I59" s="610"/>
      <c r="J59" s="610"/>
      <c r="K59" s="610"/>
      <c r="L59" s="610"/>
      <c r="M59" s="610"/>
    </row>
    <row r="60" spans="2:13" x14ac:dyDescent="0.2">
      <c r="B60" s="29" t="s">
        <v>59</v>
      </c>
      <c r="C60" s="354"/>
      <c r="D60" s="506"/>
      <c r="E60" s="333">
        <f t="shared" si="11"/>
        <v>0</v>
      </c>
      <c r="F60" s="8"/>
      <c r="H60" s="610"/>
      <c r="I60" s="610"/>
      <c r="J60" s="610"/>
      <c r="K60" s="610"/>
      <c r="L60" s="610"/>
      <c r="M60" s="610"/>
    </row>
    <row r="61" spans="2:13" x14ac:dyDescent="0.2">
      <c r="B61" s="35" t="s">
        <v>405</v>
      </c>
      <c r="C61" s="507">
        <f>SUM(C57:C60)</f>
        <v>0</v>
      </c>
      <c r="D61" s="507">
        <f>SUM(D57:D60)</f>
        <v>0</v>
      </c>
      <c r="E61" s="332">
        <f t="shared" si="11"/>
        <v>0</v>
      </c>
      <c r="F61" s="8"/>
      <c r="H61" s="610"/>
      <c r="I61" s="610"/>
      <c r="J61" s="610"/>
      <c r="K61" s="610"/>
      <c r="L61" s="610"/>
      <c r="M61" s="610"/>
    </row>
    <row r="62" spans="2:13" x14ac:dyDescent="0.2">
      <c r="B62" s="32" t="s">
        <v>394</v>
      </c>
      <c r="C62" s="354"/>
      <c r="D62" s="354"/>
      <c r="E62" s="331">
        <f t="shared" si="11"/>
        <v>0</v>
      </c>
      <c r="F62" s="8"/>
      <c r="H62" s="610"/>
      <c r="I62" s="610"/>
      <c r="J62" s="610"/>
      <c r="K62" s="610"/>
      <c r="L62" s="610"/>
      <c r="M62" s="610"/>
    </row>
    <row r="63" spans="2:13" x14ac:dyDescent="0.2">
      <c r="B63" s="29" t="s">
        <v>395</v>
      </c>
      <c r="C63" s="354"/>
      <c r="D63" s="506"/>
      <c r="E63" s="333">
        <f t="shared" si="11"/>
        <v>0</v>
      </c>
      <c r="F63" s="8"/>
      <c r="H63" s="610"/>
      <c r="I63" s="610"/>
      <c r="J63" s="610"/>
      <c r="K63" s="610"/>
      <c r="L63" s="610"/>
      <c r="M63" s="610"/>
    </row>
    <row r="64" spans="2:13" x14ac:dyDescent="0.2">
      <c r="B64" s="29" t="s">
        <v>629</v>
      </c>
      <c r="C64" s="506"/>
      <c r="D64" s="506"/>
      <c r="E64" s="333">
        <f t="shared" si="11"/>
        <v>0</v>
      </c>
      <c r="F64" s="8"/>
      <c r="H64" s="610"/>
      <c r="I64" s="610"/>
      <c r="J64" s="610"/>
      <c r="K64" s="610"/>
      <c r="L64" s="610"/>
      <c r="M64" s="610"/>
    </row>
    <row r="65" spans="2:13" x14ac:dyDescent="0.2">
      <c r="B65" s="12" t="s">
        <v>583</v>
      </c>
      <c r="C65" s="354"/>
      <c r="D65" s="506"/>
      <c r="E65" s="333">
        <f t="shared" si="11"/>
        <v>0</v>
      </c>
      <c r="F65" s="8"/>
      <c r="H65" s="610"/>
      <c r="I65" s="610"/>
      <c r="J65" s="610"/>
      <c r="K65" s="610"/>
      <c r="L65" s="610"/>
      <c r="M65" s="610"/>
    </row>
    <row r="66" spans="2:13" x14ac:dyDescent="0.2">
      <c r="B66" s="29" t="s">
        <v>52</v>
      </c>
      <c r="C66" s="354"/>
      <c r="D66" s="506"/>
      <c r="E66" s="333">
        <f t="shared" si="11"/>
        <v>0</v>
      </c>
      <c r="F66" s="8"/>
      <c r="H66" s="610"/>
      <c r="I66" s="610"/>
      <c r="J66" s="610"/>
      <c r="K66" s="610"/>
      <c r="L66" s="610"/>
      <c r="M66" s="610"/>
    </row>
    <row r="67" spans="2:13" x14ac:dyDescent="0.2">
      <c r="B67" s="29" t="s">
        <v>57</v>
      </c>
      <c r="C67" s="354"/>
      <c r="D67" s="506"/>
      <c r="E67" s="333">
        <f t="shared" si="11"/>
        <v>0</v>
      </c>
      <c r="F67" s="8"/>
      <c r="H67" s="610"/>
      <c r="I67" s="610"/>
      <c r="J67" s="610"/>
      <c r="K67" s="610"/>
      <c r="L67" s="610"/>
      <c r="M67" s="610"/>
    </row>
    <row r="68" spans="2:13" x14ac:dyDescent="0.2">
      <c r="B68" s="29" t="s">
        <v>396</v>
      </c>
      <c r="C68" s="354"/>
      <c r="D68" s="506"/>
      <c r="E68" s="333">
        <f t="shared" si="11"/>
        <v>0</v>
      </c>
      <c r="F68" s="8"/>
      <c r="H68" s="610"/>
      <c r="I68" s="610"/>
      <c r="J68" s="610"/>
      <c r="K68" s="610"/>
      <c r="L68" s="610"/>
      <c r="M68" s="610"/>
    </row>
    <row r="69" spans="2:13" x14ac:dyDescent="0.2">
      <c r="B69" s="136" t="s">
        <v>397</v>
      </c>
      <c r="C69" s="354"/>
      <c r="D69" s="506"/>
      <c r="E69" s="333">
        <f t="shared" si="11"/>
        <v>0</v>
      </c>
      <c r="F69" s="8"/>
      <c r="H69" s="786"/>
      <c r="I69" s="787"/>
      <c r="J69" s="787"/>
      <c r="K69" s="787"/>
      <c r="L69" s="787"/>
      <c r="M69" s="787"/>
    </row>
    <row r="70" spans="2:13" x14ac:dyDescent="0.2">
      <c r="B70" s="29" t="s">
        <v>11</v>
      </c>
      <c r="C70" s="354"/>
      <c r="D70" s="506"/>
      <c r="E70" s="333">
        <f t="shared" si="11"/>
        <v>0</v>
      </c>
      <c r="F70" s="8"/>
      <c r="H70" s="786"/>
      <c r="I70" s="787"/>
      <c r="J70" s="787"/>
      <c r="K70" s="787"/>
      <c r="L70" s="787"/>
      <c r="M70" s="787"/>
    </row>
    <row r="71" spans="2:13" x14ac:dyDescent="0.2">
      <c r="B71" s="29" t="s">
        <v>398</v>
      </c>
      <c r="C71" s="354"/>
      <c r="D71" s="354"/>
      <c r="E71" s="333">
        <f t="shared" si="11"/>
        <v>0</v>
      </c>
      <c r="F71" s="8"/>
      <c r="H71" s="725"/>
      <c r="I71" s="610"/>
      <c r="J71" s="610"/>
      <c r="K71" s="610"/>
      <c r="L71" s="610"/>
      <c r="M71" s="610"/>
    </row>
    <row r="72" spans="2:13" x14ac:dyDescent="0.2">
      <c r="B72" s="29" t="s">
        <v>630</v>
      </c>
      <c r="C72" s="354"/>
      <c r="D72" s="506"/>
      <c r="E72" s="333">
        <f t="shared" si="11"/>
        <v>0</v>
      </c>
      <c r="F72" s="8"/>
      <c r="H72" s="725"/>
      <c r="I72" s="610"/>
      <c r="J72" s="610"/>
      <c r="K72" s="610"/>
      <c r="L72" s="610"/>
      <c r="M72" s="610"/>
    </row>
    <row r="73" spans="2:13" x14ac:dyDescent="0.2">
      <c r="B73" s="29" t="s">
        <v>403</v>
      </c>
      <c r="C73" s="354"/>
      <c r="D73" s="506"/>
      <c r="E73" s="333">
        <f>D73-C73</f>
        <v>0</v>
      </c>
      <c r="F73" s="8"/>
      <c r="H73" s="610"/>
      <c r="I73" s="610"/>
      <c r="J73" s="610"/>
      <c r="K73" s="610"/>
      <c r="L73" s="610"/>
      <c r="M73" s="610"/>
    </row>
    <row r="74" spans="2:13" x14ac:dyDescent="0.2">
      <c r="B74" s="29" t="s">
        <v>404</v>
      </c>
      <c r="C74" s="354"/>
      <c r="D74" s="506"/>
      <c r="E74" s="333">
        <f>D74-C74</f>
        <v>0</v>
      </c>
      <c r="F74" s="8"/>
      <c r="H74" s="610"/>
      <c r="I74" s="610"/>
      <c r="J74" s="610"/>
      <c r="K74" s="610"/>
      <c r="L74" s="610"/>
      <c r="M74" s="610"/>
    </row>
    <row r="75" spans="2:13" x14ac:dyDescent="0.2">
      <c r="B75" s="29" t="s">
        <v>399</v>
      </c>
      <c r="C75" s="354"/>
      <c r="D75" s="506"/>
      <c r="E75" s="333">
        <f t="shared" si="11"/>
        <v>0</v>
      </c>
      <c r="F75" s="8"/>
      <c r="H75" s="610"/>
      <c r="I75" s="610"/>
      <c r="J75" s="610"/>
      <c r="K75" s="610"/>
      <c r="L75" s="610"/>
      <c r="M75" s="610"/>
    </row>
    <row r="76" spans="2:13" x14ac:dyDescent="0.2">
      <c r="B76" s="29" t="s">
        <v>400</v>
      </c>
      <c r="C76" s="354"/>
      <c r="D76" s="506"/>
      <c r="E76" s="333">
        <f t="shared" si="11"/>
        <v>0</v>
      </c>
      <c r="F76" s="8"/>
      <c r="H76" s="610"/>
      <c r="I76" s="610"/>
      <c r="J76" s="610"/>
      <c r="K76" s="610"/>
      <c r="L76" s="610"/>
      <c r="M76" s="610"/>
    </row>
    <row r="77" spans="2:13" x14ac:dyDescent="0.2">
      <c r="B77" s="29" t="s">
        <v>401</v>
      </c>
      <c r="C77" s="354"/>
      <c r="D77" s="354"/>
      <c r="E77" s="333">
        <f t="shared" si="11"/>
        <v>0</v>
      </c>
      <c r="F77" s="8"/>
      <c r="H77" s="610"/>
      <c r="I77" s="610"/>
      <c r="J77" s="610"/>
      <c r="K77" s="610"/>
      <c r="L77" s="610"/>
      <c r="M77" s="610"/>
    </row>
    <row r="78" spans="2:13" x14ac:dyDescent="0.2">
      <c r="B78" s="29" t="s">
        <v>41</v>
      </c>
      <c r="C78" s="354"/>
      <c r="D78" s="506"/>
      <c r="E78" s="333">
        <f t="shared" si="11"/>
        <v>0</v>
      </c>
      <c r="F78" s="8"/>
      <c r="H78" s="610"/>
      <c r="I78" s="610"/>
      <c r="J78" s="610"/>
      <c r="K78" s="610"/>
      <c r="L78" s="610"/>
      <c r="M78" s="610"/>
    </row>
    <row r="79" spans="2:13" x14ac:dyDescent="0.2">
      <c r="B79" s="29" t="s">
        <v>402</v>
      </c>
      <c r="C79" s="354"/>
      <c r="D79" s="354"/>
      <c r="E79" s="333">
        <f t="shared" si="11"/>
        <v>0</v>
      </c>
      <c r="F79" s="8"/>
      <c r="H79" s="610"/>
      <c r="I79" s="610"/>
      <c r="J79" s="610"/>
      <c r="K79" s="610"/>
      <c r="L79" s="610"/>
      <c r="M79" s="610"/>
    </row>
    <row r="80" spans="2:13" x14ac:dyDescent="0.2">
      <c r="B80" s="29" t="s">
        <v>631</v>
      </c>
      <c r="C80" s="354"/>
      <c r="D80" s="506"/>
      <c r="E80" s="333">
        <f t="shared" si="11"/>
        <v>0</v>
      </c>
      <c r="F80" s="8"/>
      <c r="H80" s="610"/>
      <c r="I80" s="610"/>
      <c r="J80" s="610"/>
      <c r="K80" s="610"/>
      <c r="L80" s="610"/>
      <c r="M80" s="610"/>
    </row>
    <row r="81" spans="2:13" x14ac:dyDescent="0.2">
      <c r="B81" s="29" t="s">
        <v>58</v>
      </c>
      <c r="C81" s="354"/>
      <c r="D81" s="506"/>
      <c r="E81" s="333">
        <f t="shared" si="11"/>
        <v>0</v>
      </c>
      <c r="F81" s="8"/>
      <c r="H81" s="610"/>
      <c r="I81" s="610"/>
      <c r="J81" s="610"/>
      <c r="K81" s="610"/>
      <c r="L81" s="610"/>
      <c r="M81" s="610"/>
    </row>
    <row r="82" spans="2:13" x14ac:dyDescent="0.2">
      <c r="B82" s="29" t="s">
        <v>524</v>
      </c>
      <c r="C82" s="354"/>
      <c r="D82" s="506"/>
      <c r="E82" s="333">
        <f t="shared" si="11"/>
        <v>0</v>
      </c>
      <c r="F82" s="8"/>
      <c r="H82" s="610"/>
      <c r="I82" s="610"/>
      <c r="J82" s="610"/>
      <c r="K82" s="610"/>
      <c r="L82" s="610"/>
      <c r="M82" s="610"/>
    </row>
    <row r="83" spans="2:13" x14ac:dyDescent="0.2">
      <c r="B83" s="29" t="s">
        <v>525</v>
      </c>
      <c r="C83" s="354"/>
      <c r="D83" s="506"/>
      <c r="E83" s="333">
        <f t="shared" si="11"/>
        <v>0</v>
      </c>
      <c r="F83" s="8"/>
      <c r="H83" s="715"/>
      <c r="I83" s="610"/>
      <c r="J83" s="610"/>
      <c r="K83" s="610"/>
      <c r="L83" s="610"/>
      <c r="M83" s="610"/>
    </row>
    <row r="84" spans="2:13" x14ac:dyDescent="0.2">
      <c r="B84" s="35" t="s">
        <v>53</v>
      </c>
      <c r="C84" s="508">
        <f>SUM(C55:C56,C61,C62:C83)</f>
        <v>0</v>
      </c>
      <c r="D84" s="249">
        <f>SUM(D55:D56,D61,D62:D83)</f>
        <v>0</v>
      </c>
      <c r="E84" s="332">
        <f t="shared" si="11"/>
        <v>0</v>
      </c>
      <c r="F84" s="8"/>
      <c r="H84" s="715"/>
      <c r="I84" s="610"/>
      <c r="J84" s="610"/>
      <c r="K84" s="610"/>
      <c r="L84" s="610"/>
      <c r="M84" s="610"/>
    </row>
    <row r="85" spans="2:13" x14ac:dyDescent="0.2">
      <c r="B85" s="160" t="s">
        <v>350</v>
      </c>
      <c r="C85" s="431">
        <f>Assets!D89</f>
        <v>0</v>
      </c>
      <c r="D85" s="431">
        <f>Assets!C89</f>
        <v>0</v>
      </c>
      <c r="E85" s="243"/>
      <c r="F85" s="8"/>
      <c r="H85" s="43"/>
      <c r="I85" s="43"/>
      <c r="J85" s="43"/>
      <c r="K85" s="43"/>
      <c r="L85" s="43"/>
      <c r="M85" s="43"/>
    </row>
    <row r="86" spans="2:13" x14ac:dyDescent="0.2">
      <c r="B86" s="160" t="s">
        <v>895</v>
      </c>
      <c r="C86" s="431">
        <f>Assets!D91</f>
        <v>0</v>
      </c>
      <c r="D86" s="431">
        <f>Assets!C91</f>
        <v>0</v>
      </c>
      <c r="E86" s="243"/>
      <c r="F86" s="8"/>
      <c r="H86" s="43"/>
      <c r="I86" s="43"/>
      <c r="J86" s="43"/>
      <c r="K86" s="43"/>
      <c r="L86" s="43"/>
      <c r="M86" s="43"/>
    </row>
    <row r="87" spans="2:13" x14ac:dyDescent="0.2">
      <c r="B87" s="716" t="s">
        <v>856</v>
      </c>
      <c r="C87" s="624">
        <f>C84-(C85+C86)</f>
        <v>0</v>
      </c>
      <c r="D87" s="624">
        <f>D84-(D85+D86)</f>
        <v>0</v>
      </c>
      <c r="E87" s="439"/>
      <c r="F87" s="8"/>
      <c r="H87" s="43"/>
      <c r="I87" s="43"/>
      <c r="J87" s="43"/>
      <c r="K87" s="43"/>
      <c r="L87" s="43"/>
      <c r="M87" s="43"/>
    </row>
    <row r="88" spans="2:13" x14ac:dyDescent="0.2">
      <c r="C88" s="630" t="s">
        <v>55</v>
      </c>
      <c r="D88" s="630" t="s">
        <v>54</v>
      </c>
      <c r="E88" s="162"/>
      <c r="F88" s="8"/>
      <c r="H88" s="43"/>
      <c r="I88" s="43"/>
      <c r="J88" s="43"/>
      <c r="K88" s="43"/>
      <c r="L88" s="43"/>
      <c r="M88" s="43"/>
    </row>
    <row r="89" spans="2:13" x14ac:dyDescent="0.2">
      <c r="B89" s="8" t="s">
        <v>527</v>
      </c>
      <c r="C89" s="7"/>
      <c r="D89" s="7"/>
      <c r="E89" s="162"/>
      <c r="F89" s="8"/>
      <c r="H89" s="783" t="s">
        <v>792</v>
      </c>
      <c r="I89" s="772"/>
      <c r="J89" s="772"/>
      <c r="K89" s="772"/>
      <c r="L89" s="772"/>
      <c r="M89" s="772"/>
    </row>
    <row r="90" spans="2:13" x14ac:dyDescent="0.2">
      <c r="B90" s="153" t="s">
        <v>83</v>
      </c>
      <c r="C90" s="440" t="s">
        <v>55</v>
      </c>
      <c r="D90" s="440" t="s">
        <v>54</v>
      </c>
      <c r="E90" s="441" t="s">
        <v>56</v>
      </c>
      <c r="F90" s="216"/>
      <c r="H90" s="610"/>
      <c r="I90" s="610"/>
      <c r="J90" s="610"/>
      <c r="K90" s="610"/>
      <c r="L90" s="610"/>
      <c r="M90" s="610"/>
    </row>
    <row r="91" spans="2:13" x14ac:dyDescent="0.2">
      <c r="B91" s="72" t="s">
        <v>79</v>
      </c>
      <c r="C91" s="335">
        <f>D91+364</f>
        <v>42004</v>
      </c>
      <c r="D91" s="335">
        <f>'Farm Info'!C19</f>
        <v>41640</v>
      </c>
      <c r="E91" s="442" t="s">
        <v>75</v>
      </c>
      <c r="F91" s="216"/>
      <c r="H91" s="610"/>
      <c r="I91" s="610"/>
      <c r="J91" s="610"/>
      <c r="K91" s="610"/>
      <c r="L91" s="610"/>
      <c r="M91" s="610"/>
    </row>
    <row r="92" spans="2:13" x14ac:dyDescent="0.2">
      <c r="B92" s="32" t="s">
        <v>515</v>
      </c>
      <c r="C92" s="354"/>
      <c r="D92" s="354"/>
      <c r="E92" s="331">
        <f>C92-D92</f>
        <v>0</v>
      </c>
      <c r="F92" s="8"/>
      <c r="H92" s="610"/>
      <c r="I92" s="610"/>
      <c r="J92" s="610"/>
      <c r="K92" s="610"/>
      <c r="L92" s="610"/>
      <c r="M92" s="610"/>
    </row>
    <row r="93" spans="2:13" x14ac:dyDescent="0.2">
      <c r="B93" s="29" t="s">
        <v>522</v>
      </c>
      <c r="C93" s="354"/>
      <c r="D93" s="506"/>
      <c r="E93" s="333">
        <f t="shared" ref="E93:E126" si="12">C93-D93</f>
        <v>0</v>
      </c>
      <c r="F93" s="8"/>
      <c r="H93" s="610"/>
      <c r="I93" s="610"/>
      <c r="J93" s="610"/>
      <c r="K93" s="610"/>
      <c r="L93" s="610"/>
      <c r="M93" s="610"/>
    </row>
    <row r="94" spans="2:13" x14ac:dyDescent="0.2">
      <c r="B94" s="29" t="s">
        <v>523</v>
      </c>
      <c r="C94" s="354"/>
      <c r="D94" s="506"/>
      <c r="E94" s="333">
        <f t="shared" si="12"/>
        <v>0</v>
      </c>
      <c r="F94" s="8"/>
      <c r="H94" s="610"/>
      <c r="I94" s="610"/>
      <c r="J94" s="610"/>
      <c r="K94" s="610"/>
      <c r="L94" s="610"/>
      <c r="M94" s="610"/>
    </row>
    <row r="95" spans="2:13" x14ac:dyDescent="0.2">
      <c r="B95" s="35" t="s">
        <v>406</v>
      </c>
      <c r="C95" s="508">
        <f>SUM(C92:C94)</f>
        <v>0</v>
      </c>
      <c r="D95" s="508">
        <f>SUM(D92:D94)</f>
        <v>0</v>
      </c>
      <c r="E95" s="334">
        <f>SUM(E92:E94)</f>
        <v>0</v>
      </c>
      <c r="F95" s="8"/>
      <c r="H95" s="610"/>
      <c r="I95" s="610"/>
      <c r="J95" s="610"/>
      <c r="K95" s="610"/>
      <c r="L95" s="610"/>
      <c r="M95" s="610"/>
    </row>
    <row r="96" spans="2:13" x14ac:dyDescent="0.2">
      <c r="B96" s="32" t="s">
        <v>25</v>
      </c>
      <c r="C96" s="354"/>
      <c r="D96" s="354"/>
      <c r="E96" s="331">
        <f t="shared" si="12"/>
        <v>0</v>
      </c>
      <c r="F96" s="8"/>
      <c r="H96" s="610"/>
      <c r="I96" s="610"/>
      <c r="J96" s="610"/>
      <c r="K96" s="610"/>
      <c r="L96" s="610"/>
      <c r="M96" s="610"/>
    </row>
    <row r="97" spans="2:13" x14ac:dyDescent="0.2">
      <c r="B97" s="29" t="s">
        <v>26</v>
      </c>
      <c r="C97" s="354"/>
      <c r="D97" s="506"/>
      <c r="E97" s="333">
        <f t="shared" si="12"/>
        <v>0</v>
      </c>
      <c r="F97" s="8"/>
      <c r="H97" s="610"/>
      <c r="I97" s="610"/>
      <c r="J97" s="610"/>
      <c r="K97" s="610"/>
      <c r="L97" s="610"/>
      <c r="M97" s="610"/>
    </row>
    <row r="98" spans="2:13" x14ac:dyDescent="0.2">
      <c r="B98" s="29" t="s">
        <v>625</v>
      </c>
      <c r="C98" s="354"/>
      <c r="D98" s="506"/>
      <c r="E98" s="333">
        <f t="shared" si="12"/>
        <v>0</v>
      </c>
      <c r="F98" s="8"/>
      <c r="H98" s="610"/>
      <c r="I98" s="610"/>
      <c r="J98" s="610"/>
      <c r="K98" s="610"/>
      <c r="L98" s="610"/>
      <c r="M98" s="610"/>
    </row>
    <row r="99" spans="2:13" x14ac:dyDescent="0.2">
      <c r="B99" s="29" t="s">
        <v>28</v>
      </c>
      <c r="C99" s="506"/>
      <c r="D99" s="506"/>
      <c r="E99" s="333">
        <f t="shared" si="12"/>
        <v>0</v>
      </c>
      <c r="F99" s="8"/>
      <c r="H99" s="610"/>
      <c r="I99" s="610"/>
      <c r="J99" s="610"/>
      <c r="K99" s="610"/>
      <c r="L99" s="610"/>
      <c r="M99" s="610"/>
    </row>
    <row r="100" spans="2:13" x14ac:dyDescent="0.2">
      <c r="B100" s="29" t="s">
        <v>29</v>
      </c>
      <c r="C100" s="354"/>
      <c r="D100" s="506"/>
      <c r="E100" s="333">
        <f t="shared" si="12"/>
        <v>0</v>
      </c>
      <c r="F100" s="8"/>
      <c r="H100" s="610"/>
      <c r="I100" s="610"/>
      <c r="J100" s="610"/>
      <c r="K100" s="610"/>
      <c r="L100" s="610"/>
      <c r="M100" s="610"/>
    </row>
    <row r="101" spans="2:13" x14ac:dyDescent="0.2">
      <c r="B101" s="29" t="s">
        <v>30</v>
      </c>
      <c r="C101" s="354"/>
      <c r="D101" s="506"/>
      <c r="E101" s="333">
        <f t="shared" si="12"/>
        <v>0</v>
      </c>
      <c r="F101" s="8"/>
      <c r="H101" s="610"/>
      <c r="I101" s="610"/>
      <c r="J101" s="610"/>
      <c r="K101" s="610"/>
      <c r="L101" s="610"/>
      <c r="M101" s="610"/>
    </row>
    <row r="102" spans="2:13" x14ac:dyDescent="0.2">
      <c r="B102" s="29" t="s">
        <v>59</v>
      </c>
      <c r="C102" s="354"/>
      <c r="D102" s="354"/>
      <c r="E102" s="333">
        <f t="shared" si="12"/>
        <v>0</v>
      </c>
      <c r="F102" s="8"/>
      <c r="H102" s="610"/>
      <c r="I102" s="610"/>
      <c r="J102" s="610"/>
      <c r="K102" s="610"/>
      <c r="L102" s="610"/>
      <c r="M102" s="610"/>
    </row>
    <row r="103" spans="2:13" x14ac:dyDescent="0.2">
      <c r="B103" s="35" t="s">
        <v>407</v>
      </c>
      <c r="C103" s="510">
        <f>SUM(C96:C102)</f>
        <v>0</v>
      </c>
      <c r="D103" s="510">
        <f>SUM(D96:D102)</f>
        <v>0</v>
      </c>
      <c r="E103" s="334">
        <f>SUM(E96:E102)</f>
        <v>0</v>
      </c>
      <c r="F103" s="8"/>
      <c r="H103" s="610"/>
      <c r="I103" s="610"/>
      <c r="J103" s="610"/>
      <c r="K103" s="610"/>
      <c r="L103" s="610"/>
      <c r="M103" s="610"/>
    </row>
    <row r="104" spans="2:13" x14ac:dyDescent="0.2">
      <c r="B104" s="226" t="s">
        <v>32</v>
      </c>
      <c r="C104" s="354"/>
      <c r="D104" s="354"/>
      <c r="E104" s="331">
        <f t="shared" si="12"/>
        <v>0</v>
      </c>
      <c r="F104" s="8"/>
      <c r="H104" s="610"/>
      <c r="I104" s="610"/>
      <c r="J104" s="610"/>
      <c r="K104" s="610"/>
      <c r="L104" s="610"/>
      <c r="M104" s="610"/>
    </row>
    <row r="105" spans="2:13" x14ac:dyDescent="0.2">
      <c r="B105" s="12" t="s">
        <v>33</v>
      </c>
      <c r="C105" s="354"/>
      <c r="D105" s="506"/>
      <c r="E105" s="333">
        <f t="shared" si="12"/>
        <v>0</v>
      </c>
      <c r="F105" s="8"/>
      <c r="H105" s="610"/>
      <c r="I105" s="610"/>
      <c r="J105" s="610"/>
      <c r="K105" s="610"/>
      <c r="L105" s="610"/>
      <c r="M105" s="610"/>
    </row>
    <row r="106" spans="2:13" x14ac:dyDescent="0.2">
      <c r="B106" s="12" t="s">
        <v>211</v>
      </c>
      <c r="C106" s="354"/>
      <c r="D106" s="506"/>
      <c r="E106" s="333">
        <f t="shared" si="12"/>
        <v>0</v>
      </c>
      <c r="F106" s="8"/>
      <c r="H106" s="610"/>
      <c r="I106" s="610"/>
      <c r="J106" s="610"/>
      <c r="K106" s="610"/>
      <c r="L106" s="610"/>
      <c r="M106" s="610"/>
    </row>
    <row r="107" spans="2:13" x14ac:dyDescent="0.2">
      <c r="B107" s="12" t="s">
        <v>37</v>
      </c>
      <c r="C107" s="506"/>
      <c r="D107" s="506"/>
      <c r="E107" s="333">
        <f t="shared" si="12"/>
        <v>0</v>
      </c>
      <c r="F107" s="8"/>
      <c r="H107" s="610"/>
      <c r="I107" s="610"/>
      <c r="J107" s="610"/>
      <c r="K107" s="610"/>
      <c r="L107" s="610"/>
      <c r="M107" s="610"/>
    </row>
    <row r="108" spans="2:13" x14ac:dyDescent="0.2">
      <c r="B108" s="12" t="s">
        <v>34</v>
      </c>
      <c r="C108" s="354"/>
      <c r="D108" s="506"/>
      <c r="E108" s="333">
        <f t="shared" si="12"/>
        <v>0</v>
      </c>
      <c r="F108" s="8"/>
      <c r="H108" s="610"/>
      <c r="I108" s="610"/>
      <c r="J108" s="610"/>
      <c r="K108" s="610"/>
      <c r="L108" s="610"/>
      <c r="M108" s="610"/>
    </row>
    <row r="109" spans="2:13" x14ac:dyDescent="0.2">
      <c r="B109" s="12" t="s">
        <v>36</v>
      </c>
      <c r="C109" s="506"/>
      <c r="D109" s="506"/>
      <c r="E109" s="333">
        <f t="shared" si="12"/>
        <v>0</v>
      </c>
      <c r="F109" s="8"/>
      <c r="H109" s="610"/>
      <c r="I109" s="610"/>
      <c r="J109" s="610"/>
      <c r="K109" s="610"/>
      <c r="L109" s="610"/>
      <c r="M109" s="610"/>
    </row>
    <row r="110" spans="2:13" x14ac:dyDescent="0.2">
      <c r="B110" s="12" t="s">
        <v>38</v>
      </c>
      <c r="C110" s="354"/>
      <c r="D110" s="506"/>
      <c r="E110" s="333">
        <f t="shared" si="12"/>
        <v>0</v>
      </c>
      <c r="F110" s="8"/>
      <c r="H110" s="610"/>
      <c r="I110" s="610"/>
      <c r="J110" s="610"/>
      <c r="K110" s="610"/>
      <c r="L110" s="610"/>
      <c r="M110" s="610"/>
    </row>
    <row r="111" spans="2:13" x14ac:dyDescent="0.2">
      <c r="B111" s="12" t="s">
        <v>39</v>
      </c>
      <c r="C111" s="506"/>
      <c r="D111" s="506"/>
      <c r="E111" s="333">
        <f t="shared" si="12"/>
        <v>0</v>
      </c>
      <c r="F111" s="8"/>
      <c r="H111" s="610"/>
      <c r="I111" s="610"/>
      <c r="J111" s="610"/>
      <c r="K111" s="610"/>
      <c r="L111" s="610"/>
      <c r="M111" s="610"/>
    </row>
    <row r="112" spans="2:13" x14ac:dyDescent="0.2">
      <c r="B112" s="12" t="s">
        <v>11</v>
      </c>
      <c r="C112" s="354"/>
      <c r="D112" s="506"/>
      <c r="E112" s="333">
        <f t="shared" si="12"/>
        <v>0</v>
      </c>
      <c r="F112" s="8"/>
      <c r="H112" s="610"/>
      <c r="I112" s="610"/>
      <c r="J112" s="610"/>
      <c r="K112" s="610"/>
      <c r="L112" s="610"/>
      <c r="M112" s="610"/>
    </row>
    <row r="113" spans="2:13" x14ac:dyDescent="0.2">
      <c r="B113" s="12" t="s">
        <v>45</v>
      </c>
      <c r="C113" s="354"/>
      <c r="D113" s="506"/>
      <c r="E113" s="333">
        <f t="shared" si="12"/>
        <v>0</v>
      </c>
      <c r="F113" s="8"/>
      <c r="H113" s="610"/>
      <c r="I113" s="610"/>
      <c r="J113" s="610"/>
      <c r="K113" s="610"/>
      <c r="L113" s="610"/>
      <c r="M113" s="610"/>
    </row>
    <row r="114" spans="2:13" x14ac:dyDescent="0.2">
      <c r="B114" s="12" t="s">
        <v>408</v>
      </c>
      <c r="C114" s="354"/>
      <c r="D114" s="506"/>
      <c r="E114" s="333">
        <f>C114-D114</f>
        <v>0</v>
      </c>
      <c r="F114" s="8"/>
      <c r="H114" s="610"/>
      <c r="I114" s="610"/>
      <c r="J114" s="610"/>
      <c r="K114" s="610"/>
      <c r="L114" s="610"/>
      <c r="M114" s="610"/>
    </row>
    <row r="115" spans="2:13" x14ac:dyDescent="0.2">
      <c r="B115" s="12" t="s">
        <v>403</v>
      </c>
      <c r="C115" s="354"/>
      <c r="D115" s="506"/>
      <c r="E115" s="333">
        <f>C115-D115</f>
        <v>0</v>
      </c>
      <c r="F115" s="8"/>
      <c r="H115" s="610"/>
      <c r="I115" s="610"/>
      <c r="J115" s="610"/>
      <c r="K115" s="610"/>
      <c r="L115" s="610"/>
      <c r="M115" s="610"/>
    </row>
    <row r="116" spans="2:13" x14ac:dyDescent="0.2">
      <c r="B116" s="12" t="s">
        <v>409</v>
      </c>
      <c r="C116" s="354"/>
      <c r="D116" s="506"/>
      <c r="E116" s="333">
        <f>C116-D116</f>
        <v>0</v>
      </c>
      <c r="F116" s="8"/>
      <c r="H116" s="610"/>
      <c r="I116" s="610"/>
      <c r="J116" s="610"/>
      <c r="K116" s="610"/>
      <c r="L116" s="610"/>
      <c r="M116" s="610"/>
    </row>
    <row r="117" spans="2:13" x14ac:dyDescent="0.2">
      <c r="B117" s="12" t="s">
        <v>63</v>
      </c>
      <c r="C117" s="354"/>
      <c r="D117" s="506"/>
      <c r="E117" s="333">
        <f t="shared" si="12"/>
        <v>0</v>
      </c>
      <c r="F117" s="8"/>
      <c r="H117" s="610"/>
      <c r="I117" s="610"/>
      <c r="J117" s="610"/>
      <c r="K117" s="610"/>
      <c r="L117" s="610"/>
      <c r="M117" s="610"/>
    </row>
    <row r="118" spans="2:13" x14ac:dyDescent="0.2">
      <c r="B118" s="12" t="s">
        <v>64</v>
      </c>
      <c r="C118" s="354"/>
      <c r="D118" s="506"/>
      <c r="E118" s="333">
        <f t="shared" si="12"/>
        <v>0</v>
      </c>
      <c r="F118" s="8"/>
      <c r="H118" s="610"/>
      <c r="I118" s="610"/>
      <c r="J118" s="610"/>
      <c r="K118" s="610"/>
      <c r="L118" s="610"/>
      <c r="M118" s="610"/>
    </row>
    <row r="119" spans="2:13" x14ac:dyDescent="0.2">
      <c r="B119" s="12" t="s">
        <v>40</v>
      </c>
      <c r="C119" s="354"/>
      <c r="D119" s="506"/>
      <c r="E119" s="333">
        <f t="shared" si="12"/>
        <v>0</v>
      </c>
      <c r="F119" s="8"/>
      <c r="H119" s="610"/>
      <c r="I119" s="610"/>
      <c r="J119" s="610"/>
      <c r="K119" s="610"/>
      <c r="L119" s="610"/>
      <c r="M119" s="610"/>
    </row>
    <row r="120" spans="2:13" x14ac:dyDescent="0.2">
      <c r="B120" s="12" t="s">
        <v>41</v>
      </c>
      <c r="C120" s="354"/>
      <c r="D120" s="506"/>
      <c r="E120" s="333">
        <f t="shared" si="12"/>
        <v>0</v>
      </c>
      <c r="F120" s="8"/>
      <c r="H120" s="610"/>
      <c r="I120" s="610"/>
      <c r="J120" s="610"/>
      <c r="K120" s="610"/>
      <c r="L120" s="610"/>
      <c r="M120" s="610"/>
    </row>
    <row r="121" spans="2:13" x14ac:dyDescent="0.2">
      <c r="B121" s="12" t="s">
        <v>62</v>
      </c>
      <c r="C121" s="354"/>
      <c r="D121" s="506"/>
      <c r="E121" s="333">
        <f t="shared" si="12"/>
        <v>0</v>
      </c>
      <c r="F121" s="8"/>
      <c r="H121" s="610"/>
      <c r="I121" s="610"/>
      <c r="J121" s="610"/>
      <c r="K121" s="610"/>
      <c r="L121" s="610"/>
      <c r="M121" s="610"/>
    </row>
    <row r="122" spans="2:13" x14ac:dyDescent="0.2">
      <c r="B122" s="12" t="s">
        <v>632</v>
      </c>
      <c r="C122" s="354"/>
      <c r="D122" s="506"/>
      <c r="E122" s="333">
        <f t="shared" si="12"/>
        <v>0</v>
      </c>
      <c r="F122" s="8"/>
      <c r="H122" s="610"/>
      <c r="I122" s="610"/>
      <c r="J122" s="610"/>
      <c r="K122" s="610"/>
      <c r="L122" s="610"/>
      <c r="M122" s="610"/>
    </row>
    <row r="123" spans="2:13" x14ac:dyDescent="0.2">
      <c r="B123" s="12" t="s">
        <v>84</v>
      </c>
      <c r="C123" s="354"/>
      <c r="D123" s="506"/>
      <c r="E123" s="333">
        <f t="shared" si="12"/>
        <v>0</v>
      </c>
      <c r="F123" s="8"/>
      <c r="H123" s="610"/>
      <c r="I123" s="610"/>
      <c r="J123" s="610"/>
      <c r="K123" s="610"/>
      <c r="L123" s="610"/>
      <c r="M123" s="610"/>
    </row>
    <row r="124" spans="2:13" x14ac:dyDescent="0.2">
      <c r="B124" s="12" t="s">
        <v>42</v>
      </c>
      <c r="C124" s="354"/>
      <c r="D124" s="506"/>
      <c r="E124" s="333">
        <f t="shared" si="12"/>
        <v>0</v>
      </c>
      <c r="F124" s="8"/>
      <c r="H124" s="610"/>
      <c r="I124" s="610"/>
      <c r="J124" s="610"/>
      <c r="K124" s="610"/>
      <c r="L124" s="610"/>
      <c r="M124" s="610"/>
    </row>
    <row r="125" spans="2:13" x14ac:dyDescent="0.2">
      <c r="B125" s="12" t="s">
        <v>43</v>
      </c>
      <c r="C125" s="354"/>
      <c r="D125" s="506"/>
      <c r="E125" s="333">
        <f t="shared" si="12"/>
        <v>0</v>
      </c>
      <c r="F125" s="8"/>
      <c r="H125" s="610"/>
      <c r="I125" s="610"/>
      <c r="J125" s="610"/>
      <c r="K125" s="610"/>
      <c r="L125" s="610"/>
      <c r="M125" s="610"/>
    </row>
    <row r="126" spans="2:13" x14ac:dyDescent="0.2">
      <c r="B126" s="12" t="s">
        <v>526</v>
      </c>
      <c r="C126" s="506"/>
      <c r="D126" s="506"/>
      <c r="E126" s="333">
        <f t="shared" si="12"/>
        <v>0</v>
      </c>
      <c r="F126" s="8"/>
      <c r="H126" s="610"/>
      <c r="I126" s="610"/>
      <c r="J126" s="610"/>
      <c r="K126" s="610"/>
      <c r="L126" s="610"/>
      <c r="M126" s="610"/>
    </row>
    <row r="127" spans="2:13" x14ac:dyDescent="0.2">
      <c r="B127" s="31" t="s">
        <v>212</v>
      </c>
      <c r="C127" s="250">
        <f>SUM(C95,C103:C126)</f>
        <v>0</v>
      </c>
      <c r="D127" s="250">
        <f>SUM(D95,D103:D126)</f>
        <v>0</v>
      </c>
      <c r="E127" s="334">
        <f>SUM(E95,E103:E126)</f>
        <v>0</v>
      </c>
      <c r="H127" s="610"/>
      <c r="I127" s="610"/>
      <c r="J127" s="610"/>
      <c r="K127" s="610"/>
      <c r="L127" s="610"/>
      <c r="M127" s="610"/>
    </row>
    <row r="128" spans="2:13" x14ac:dyDescent="0.2">
      <c r="B128" s="159" t="s">
        <v>349</v>
      </c>
      <c r="C128" s="7">
        <f>Liabilities!C6</f>
        <v>0</v>
      </c>
      <c r="D128" s="7">
        <f>Liabilities!B6</f>
        <v>0</v>
      </c>
      <c r="E128" s="7"/>
    </row>
    <row r="129" spans="2:4" x14ac:dyDescent="0.2">
      <c r="B129" s="594" t="s">
        <v>856</v>
      </c>
      <c r="C129" s="593">
        <f>C127-C128</f>
        <v>0</v>
      </c>
      <c r="D129" s="593">
        <f>D127-D128</f>
        <v>0</v>
      </c>
    </row>
    <row r="130" spans="2:4" x14ac:dyDescent="0.2">
      <c r="C130" s="8" t="s">
        <v>55</v>
      </c>
      <c r="D130" s="8" t="s">
        <v>54</v>
      </c>
    </row>
  </sheetData>
  <sheetProtection password="DA6F" sheet="1" objects="1" scenarios="1"/>
  <mergeCells count="10">
    <mergeCell ref="H52:M52"/>
    <mergeCell ref="H89:M89"/>
    <mergeCell ref="D41:E41"/>
    <mergeCell ref="H69:M69"/>
    <mergeCell ref="H70:M70"/>
    <mergeCell ref="E50:I50"/>
    <mergeCell ref="E46:I46"/>
    <mergeCell ref="E47:I47"/>
    <mergeCell ref="E48:I48"/>
    <mergeCell ref="E49:I49"/>
  </mergeCells>
  <phoneticPr fontId="0" type="noConversion"/>
  <printOptions horizontalCentered="1" verticalCentered="1" gridLines="1"/>
  <pageMargins left="0.25" right="0.25" top="0.5" bottom="0.5" header="0.25" footer="0.25"/>
  <pageSetup scale="95" orientation="landscape" blackAndWhite="1" horizontalDpi="4294967294" verticalDpi="300" r:id="rId1"/>
  <headerFooter alignWithMargins="0">
    <oddHeader>&amp;LPage No:  &amp;N:&amp;P&amp;RFFBS INPUT FORM</oddHeader>
    <oddFooter>&amp;R&amp;F  &amp;A  &amp;D</oddFooter>
  </headerFooter>
  <rowBreaks count="1" manualBreakCount="1">
    <brk id="8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zoomScale="110" workbookViewId="0">
      <pane ySplit="1110" activePane="bottomLeft"/>
      <selection activeCell="B3" sqref="B3"/>
      <selection pane="bottomLeft" activeCell="A36" sqref="A36"/>
    </sheetView>
  </sheetViews>
  <sheetFormatPr defaultRowHeight="12.75" x14ac:dyDescent="0.2"/>
  <cols>
    <col min="1" max="1" width="22.7109375" customWidth="1"/>
    <col min="2" max="2" width="12" customWidth="1"/>
    <col min="3" max="3" width="10.5703125" customWidth="1"/>
    <col min="4" max="4" width="10.7109375" customWidth="1"/>
    <col min="5" max="5" width="12.42578125" customWidth="1"/>
    <col min="6" max="6" width="9.5703125" customWidth="1"/>
    <col min="7" max="7" width="10.5703125" customWidth="1"/>
    <col min="8" max="8" width="7.85546875" customWidth="1"/>
    <col min="9" max="9" width="4.5703125" customWidth="1"/>
    <col min="10" max="11" width="7.5703125" customWidth="1"/>
    <col min="12" max="12" width="9.7109375" customWidth="1"/>
    <col min="13" max="13" width="4.85546875" customWidth="1"/>
    <col min="15" max="15" width="3.85546875" customWidth="1"/>
    <col min="16" max="16" width="10.28515625" bestFit="1" customWidth="1"/>
  </cols>
  <sheetData>
    <row r="1" spans="1:18" x14ac:dyDescent="0.2">
      <c r="B1" s="1" t="s">
        <v>61</v>
      </c>
      <c r="C1" s="189" t="s">
        <v>357</v>
      </c>
      <c r="D1" s="189" t="s">
        <v>536</v>
      </c>
      <c r="E1" s="157" t="s">
        <v>640</v>
      </c>
      <c r="F1" s="190" t="s">
        <v>412</v>
      </c>
      <c r="J1" s="1" t="s">
        <v>140</v>
      </c>
      <c r="K1" s="8" t="s">
        <v>140</v>
      </c>
      <c r="L1" s="8" t="s">
        <v>140</v>
      </c>
    </row>
    <row r="2" spans="1:18" x14ac:dyDescent="0.2">
      <c r="A2" s="4" t="s">
        <v>219</v>
      </c>
      <c r="B2" s="1" t="s">
        <v>357</v>
      </c>
      <c r="C2" s="189" t="s">
        <v>358</v>
      </c>
      <c r="D2" s="189" t="s">
        <v>537</v>
      </c>
      <c r="E2" s="157" t="s">
        <v>648</v>
      </c>
      <c r="F2" s="190" t="s">
        <v>413</v>
      </c>
      <c r="G2" s="1" t="s">
        <v>65</v>
      </c>
      <c r="H2" s="190" t="s">
        <v>499</v>
      </c>
      <c r="I2" s="190"/>
      <c r="J2" s="1" t="s">
        <v>418</v>
      </c>
      <c r="K2" s="8" t="s">
        <v>419</v>
      </c>
      <c r="L2" s="8" t="s">
        <v>438</v>
      </c>
    </row>
    <row r="3" spans="1:18" x14ac:dyDescent="0.2">
      <c r="A3" s="22" t="s">
        <v>67</v>
      </c>
      <c r="B3" s="395" t="str">
        <f>'Farm Info'!C5</f>
        <v>2014</v>
      </c>
      <c r="C3" s="23" t="s">
        <v>359</v>
      </c>
      <c r="D3" s="23" t="s">
        <v>538</v>
      </c>
      <c r="E3" s="51" t="s">
        <v>649</v>
      </c>
      <c r="F3" s="287" t="s">
        <v>414</v>
      </c>
      <c r="G3" s="22" t="s">
        <v>383</v>
      </c>
      <c r="H3" s="287" t="s">
        <v>179</v>
      </c>
      <c r="I3" s="287"/>
      <c r="J3" s="22" t="s">
        <v>139</v>
      </c>
      <c r="K3" s="47" t="s">
        <v>415</v>
      </c>
      <c r="L3" s="23" t="s">
        <v>439</v>
      </c>
      <c r="M3" s="61"/>
      <c r="N3" s="47" t="s">
        <v>781</v>
      </c>
      <c r="P3" s="61"/>
      <c r="Q3" s="61"/>
      <c r="R3" s="61"/>
    </row>
    <row r="4" spans="1:18" x14ac:dyDescent="0.2">
      <c r="A4" s="4" t="s">
        <v>360</v>
      </c>
      <c r="B4" s="511"/>
      <c r="C4" s="478">
        <f>B4-D4</f>
        <v>0</v>
      </c>
      <c r="D4" s="164">
        <f>'AR and Inv'!C3+'AR and Inv'!D3</f>
        <v>0</v>
      </c>
      <c r="E4" s="2">
        <f>'AR and Inv'!G3</f>
        <v>0</v>
      </c>
      <c r="F4" s="382">
        <f>('AR and Inv'!G3)-D4</f>
        <v>0</v>
      </c>
      <c r="G4" s="3">
        <f t="shared" ref="G4:G35" si="0">B4+F4</f>
        <v>0</v>
      </c>
      <c r="H4" s="279" t="e">
        <f>G4/$G$7</f>
        <v>#DIV/0!</v>
      </c>
      <c r="I4" s="288"/>
      <c r="J4" s="3" t="e">
        <f>G4/'Prdtn &amp; Acres'!F2</f>
        <v>#DIV/0!</v>
      </c>
      <c r="K4" s="69" t="e">
        <f>G4/('Prdtn &amp; Acres'!$L$52/100)</f>
        <v>#DIV/0!</v>
      </c>
      <c r="L4" s="69" t="e">
        <f>G4/('Prdtn &amp; Acres'!$L$52/840)</f>
        <v>#DIV/0!</v>
      </c>
      <c r="M4" s="8" t="s">
        <v>442</v>
      </c>
      <c r="N4" s="366" t="e">
        <f>(K4/100)*42</f>
        <v>#DIV/0!</v>
      </c>
      <c r="P4" s="650"/>
      <c r="Q4" s="700"/>
      <c r="R4" s="700"/>
    </row>
    <row r="5" spans="1:18" x14ac:dyDescent="0.2">
      <c r="A5" s="4" t="s">
        <v>361</v>
      </c>
      <c r="B5" s="511"/>
      <c r="C5" s="478">
        <f t="shared" ref="C5:C54" si="1">B5-D5</f>
        <v>0</v>
      </c>
      <c r="D5" s="164">
        <f>'AR and Inv'!C4+'AR and Inv'!D4</f>
        <v>0</v>
      </c>
      <c r="E5" s="2">
        <f>'AR and Inv'!G4</f>
        <v>0</v>
      </c>
      <c r="F5" s="382">
        <f>('AR and Inv'!G4)-D5</f>
        <v>0</v>
      </c>
      <c r="G5" s="3">
        <f t="shared" si="0"/>
        <v>0</v>
      </c>
      <c r="H5" s="279" t="e">
        <f>G5/$G$7</f>
        <v>#DIV/0!</v>
      </c>
      <c r="I5" s="288"/>
      <c r="J5" s="3" t="e">
        <f>G5/'Prdtn &amp; Acres'!F3</f>
        <v>#DIV/0!</v>
      </c>
      <c r="K5" s="69" t="e">
        <f>G5/('Prdtn &amp; Acres'!$L$53/100)</f>
        <v>#DIV/0!</v>
      </c>
      <c r="L5" s="69" t="e">
        <f>G5/('Prdtn &amp; Acres'!$L$53/840)</f>
        <v>#DIV/0!</v>
      </c>
      <c r="M5" s="8" t="s">
        <v>442</v>
      </c>
      <c r="N5" s="366" t="e">
        <f>(K5/100)*42</f>
        <v>#DIV/0!</v>
      </c>
      <c r="P5" s="650"/>
      <c r="Q5" s="700"/>
      <c r="R5" s="700"/>
    </row>
    <row r="6" spans="1:18" x14ac:dyDescent="0.2">
      <c r="A6" s="107" t="s">
        <v>362</v>
      </c>
      <c r="B6" s="443"/>
      <c r="C6" s="479">
        <f t="shared" si="1"/>
        <v>0</v>
      </c>
      <c r="D6" s="165">
        <f>'AR and Inv'!C5+'AR and Inv'!D5</f>
        <v>0</v>
      </c>
      <c r="E6" s="67">
        <f>'AR and Inv'!G5</f>
        <v>0</v>
      </c>
      <c r="F6" s="383">
        <f>('AR and Inv'!G5)-D6</f>
        <v>0</v>
      </c>
      <c r="G6" s="25">
        <f t="shared" si="0"/>
        <v>0</v>
      </c>
      <c r="H6" s="280" t="e">
        <f>G6/$G$7</f>
        <v>#DIV/0!</v>
      </c>
      <c r="I6" s="289"/>
      <c r="J6" s="25" t="e">
        <f>G6/'Prdtn &amp; Acres'!F4</f>
        <v>#DIV/0!</v>
      </c>
      <c r="K6" s="86" t="e">
        <f>G6/('Prdtn &amp; Acres'!$L$54/100)</f>
        <v>#DIV/0!</v>
      </c>
      <c r="L6" s="86" t="e">
        <f>G6/('Prdtn &amp; Acres'!$L$54/840)</f>
        <v>#DIV/0!</v>
      </c>
      <c r="M6" s="8" t="s">
        <v>442</v>
      </c>
      <c r="N6" s="366" t="e">
        <f>(K6/100)*42</f>
        <v>#DIV/0!</v>
      </c>
      <c r="P6" s="650"/>
      <c r="Q6" s="701"/>
      <c r="R6" s="700"/>
    </row>
    <row r="7" spans="1:18" x14ac:dyDescent="0.2">
      <c r="A7" s="5" t="s">
        <v>363</v>
      </c>
      <c r="B7" s="184">
        <f>SUM(B4:B6)</f>
        <v>0</v>
      </c>
      <c r="C7" s="576">
        <f>SUM(C4:C6)</f>
        <v>0</v>
      </c>
      <c r="D7" s="184">
        <f>SUM(D4:D6)</f>
        <v>0</v>
      </c>
      <c r="E7" s="184">
        <f>SUM(E4:E6)</f>
        <v>0</v>
      </c>
      <c r="F7" s="384">
        <f>SUM(F4:F6)</f>
        <v>0</v>
      </c>
      <c r="G7" s="184">
        <f t="shared" si="0"/>
        <v>0</v>
      </c>
      <c r="H7" s="577" t="e">
        <f t="shared" ref="H7:H54" si="2">G7/$G$55</f>
        <v>#DIV/0!</v>
      </c>
      <c r="I7" s="577"/>
      <c r="J7" s="184" t="e">
        <f>G7/'Prdtn &amp; Acres'!F5</f>
        <v>#DIV/0!</v>
      </c>
      <c r="K7" s="578" t="e">
        <f>G7/('Prdtn &amp; Acres'!$L$55/100)</f>
        <v>#DIV/0!</v>
      </c>
      <c r="L7" s="578" t="e">
        <f>G7/('Prdtn &amp; Acres'!$L$55/840)</f>
        <v>#DIV/0!</v>
      </c>
      <c r="M7" s="579" t="s">
        <v>442</v>
      </c>
      <c r="P7" s="650"/>
      <c r="Q7" s="701"/>
      <c r="R7" s="700"/>
    </row>
    <row r="8" spans="1:18" x14ac:dyDescent="0.2">
      <c r="A8" s="4" t="s">
        <v>5</v>
      </c>
      <c r="B8" s="443"/>
      <c r="C8" s="478">
        <f t="shared" si="1"/>
        <v>0</v>
      </c>
      <c r="D8" s="164">
        <f>'AR and Inv'!C7+'AR and Inv'!D7</f>
        <v>0</v>
      </c>
      <c r="E8" s="2">
        <f>'AR and Inv'!G7</f>
        <v>0</v>
      </c>
      <c r="F8" s="382">
        <f>('AR and Inv'!G7)-D8</f>
        <v>0</v>
      </c>
      <c r="G8" s="3">
        <f t="shared" si="0"/>
        <v>0</v>
      </c>
      <c r="H8" s="204" t="e">
        <f t="shared" si="2"/>
        <v>#DIV/0!</v>
      </c>
      <c r="I8" s="204"/>
      <c r="J8" s="3" t="e">
        <f>G8/'Prdtn &amp; Acres'!$F$6</f>
        <v>#DIV/0!</v>
      </c>
      <c r="K8" s="69" t="e">
        <f>G8/('Prdtn &amp; Acres'!L56/100)</f>
        <v>#DIV/0!</v>
      </c>
      <c r="L8" s="91" t="e">
        <f>G8/('Prdtn &amp; Acres'!L56/2000)</f>
        <v>#DIV/0!</v>
      </c>
      <c r="M8" s="8" t="s">
        <v>441</v>
      </c>
      <c r="P8" s="650"/>
      <c r="Q8" s="701"/>
      <c r="R8" s="700"/>
    </row>
    <row r="9" spans="1:18" x14ac:dyDescent="0.2">
      <c r="A9" s="17" t="s">
        <v>650</v>
      </c>
      <c r="B9" s="511"/>
      <c r="C9" s="478">
        <f t="shared" si="1"/>
        <v>0</v>
      </c>
      <c r="D9" s="164">
        <f>'AR and Inv'!C8+'AR and Inv'!D8</f>
        <v>0</v>
      </c>
      <c r="E9" s="2">
        <f>'AR and Inv'!G8</f>
        <v>0</v>
      </c>
      <c r="F9" s="382">
        <f>('AR and Inv'!G8)-D9</f>
        <v>0</v>
      </c>
      <c r="G9" s="3">
        <f t="shared" si="0"/>
        <v>0</v>
      </c>
      <c r="H9" s="204" t="e">
        <f t="shared" si="2"/>
        <v>#DIV/0!</v>
      </c>
      <c r="I9" s="204"/>
      <c r="J9" s="3" t="e">
        <f>G9/'Prdtn &amp; Acres'!$F$7</f>
        <v>#DIV/0!</v>
      </c>
      <c r="K9" s="69" t="e">
        <f>G9/('Prdtn &amp; Acres'!$L$57/100)</f>
        <v>#DIV/0!</v>
      </c>
      <c r="L9" s="91" t="e">
        <f>G9/('Prdtn &amp; Acres'!L57/2000)</f>
        <v>#DIV/0!</v>
      </c>
      <c r="M9" s="8" t="s">
        <v>441</v>
      </c>
      <c r="P9" s="650"/>
      <c r="Q9" s="701"/>
      <c r="R9" s="700"/>
    </row>
    <row r="10" spans="1:18" x14ac:dyDescent="0.2">
      <c r="A10" s="107" t="s">
        <v>651</v>
      </c>
      <c r="B10" s="443"/>
      <c r="C10" s="479">
        <f t="shared" si="1"/>
        <v>0</v>
      </c>
      <c r="D10" s="165">
        <f>'AR and Inv'!C9+'AR and Inv'!D9</f>
        <v>0</v>
      </c>
      <c r="E10" s="67">
        <f>'AR and Inv'!G9</f>
        <v>0</v>
      </c>
      <c r="F10" s="383">
        <f>('AR and Inv'!G9)-D10</f>
        <v>0</v>
      </c>
      <c r="G10" s="25">
        <f t="shared" si="0"/>
        <v>0</v>
      </c>
      <c r="H10" s="205" t="e">
        <f t="shared" si="2"/>
        <v>#DIV/0!</v>
      </c>
      <c r="I10" s="205"/>
      <c r="J10" s="25" t="e">
        <f>G10/'Prdtn &amp; Acres'!$F$8</f>
        <v>#DIV/0!</v>
      </c>
      <c r="K10" s="86" t="e">
        <f>G10/('Prdtn &amp; Acres'!$L$58/100)</f>
        <v>#DIV/0!</v>
      </c>
      <c r="L10" s="202" t="e">
        <f>G10/('Prdtn &amp; Acres'!L58/2000)</f>
        <v>#DIV/0!</v>
      </c>
      <c r="M10" s="8" t="s">
        <v>441</v>
      </c>
      <c r="P10" s="650"/>
      <c r="Q10" s="700"/>
      <c r="R10" s="700"/>
    </row>
    <row r="11" spans="1:18" x14ac:dyDescent="0.2">
      <c r="A11" s="17" t="s">
        <v>773</v>
      </c>
      <c r="B11" s="511"/>
      <c r="C11" s="478">
        <f t="shared" si="1"/>
        <v>0</v>
      </c>
      <c r="D11" s="164">
        <f>'AR and Inv'!C12+'AR and Inv'!D12</f>
        <v>0</v>
      </c>
      <c r="E11" s="2">
        <f>'AR and Inv'!G12</f>
        <v>0</v>
      </c>
      <c r="F11" s="382">
        <f>('AR and Inv'!G12)-D11</f>
        <v>0</v>
      </c>
      <c r="G11" s="3">
        <f t="shared" si="0"/>
        <v>0</v>
      </c>
      <c r="H11" s="204" t="e">
        <f t="shared" si="2"/>
        <v>#DIV/0!</v>
      </c>
      <c r="I11" s="204"/>
      <c r="J11" s="3" t="e">
        <f>G11/'Prdtn &amp; Acres'!$F$9</f>
        <v>#DIV/0!</v>
      </c>
      <c r="K11" s="69" t="e">
        <f>G11/('Prdtn &amp; Acres'!$L$59/100)</f>
        <v>#DIV/0!</v>
      </c>
      <c r="L11" s="69" t="e">
        <f>G11/('Prdtn &amp; Acres'!C59/20)</f>
        <v>#DIV/0!</v>
      </c>
      <c r="M11" s="8" t="s">
        <v>442</v>
      </c>
      <c r="P11" s="650"/>
      <c r="Q11" s="700"/>
      <c r="R11" s="700"/>
    </row>
    <row r="12" spans="1:18" x14ac:dyDescent="0.2">
      <c r="A12" s="107" t="s">
        <v>774</v>
      </c>
      <c r="B12" s="443"/>
      <c r="C12" s="479">
        <f t="shared" si="1"/>
        <v>0</v>
      </c>
      <c r="D12" s="165">
        <f>'AR and Inv'!C13+'AR and Inv'!D13</f>
        <v>0</v>
      </c>
      <c r="E12" s="67">
        <f>'AR and Inv'!G13</f>
        <v>0</v>
      </c>
      <c r="F12" s="383">
        <f>'AR and Inv'!G13-D12</f>
        <v>0</v>
      </c>
      <c r="G12" s="25">
        <f t="shared" si="0"/>
        <v>0</v>
      </c>
      <c r="H12" s="205" t="e">
        <f t="shared" si="2"/>
        <v>#DIV/0!</v>
      </c>
      <c r="I12" s="205"/>
      <c r="J12" s="25" t="e">
        <f>G12/'Prdtn &amp; Acres'!$F$10</f>
        <v>#DIV/0!</v>
      </c>
      <c r="K12" s="86" t="e">
        <f>G12/('Prdtn &amp; Acres'!$L$60/100)</f>
        <v>#DIV/0!</v>
      </c>
      <c r="L12" s="202" t="e">
        <f>G12/('Prdtn &amp; Acres'!L60/2000)</f>
        <v>#DIV/0!</v>
      </c>
      <c r="M12" s="8" t="s">
        <v>441</v>
      </c>
      <c r="P12" s="650"/>
      <c r="Q12" s="700"/>
      <c r="R12" s="700"/>
    </row>
    <row r="13" spans="1:18" x14ac:dyDescent="0.2">
      <c r="A13" s="17" t="s">
        <v>385</v>
      </c>
      <c r="B13" s="511"/>
      <c r="C13" s="478">
        <f t="shared" si="1"/>
        <v>0</v>
      </c>
      <c r="D13" s="164">
        <f>'AR and Inv'!C10+'AR and Inv'!D10</f>
        <v>0</v>
      </c>
      <c r="E13" s="2">
        <f>'AR and Inv'!G10</f>
        <v>0</v>
      </c>
      <c r="F13" s="382">
        <f>('AR and Inv'!G10)-D13</f>
        <v>0</v>
      </c>
      <c r="G13" s="3">
        <f t="shared" si="0"/>
        <v>0</v>
      </c>
      <c r="H13" s="204" t="e">
        <f t="shared" si="2"/>
        <v>#DIV/0!</v>
      </c>
      <c r="I13" s="204"/>
      <c r="J13" s="3" t="e">
        <f>G13/'Prdtn &amp; Acres'!$F$11</f>
        <v>#DIV/0!</v>
      </c>
      <c r="K13" s="69" t="e">
        <f>G13/('Prdtn &amp; Acres'!$L$61/100)</f>
        <v>#DIV/0!</v>
      </c>
      <c r="L13" s="69" t="e">
        <f>G13/'Prdtn &amp; Acres'!C61</f>
        <v>#DIV/0!</v>
      </c>
      <c r="M13" s="8" t="s">
        <v>443</v>
      </c>
      <c r="P13" s="650"/>
      <c r="Q13" s="700"/>
      <c r="R13" s="700"/>
    </row>
    <row r="14" spans="1:18" x14ac:dyDescent="0.2">
      <c r="A14" s="107" t="s">
        <v>775</v>
      </c>
      <c r="B14" s="443"/>
      <c r="C14" s="479">
        <f t="shared" si="1"/>
        <v>0</v>
      </c>
      <c r="D14" s="165">
        <f>'AR and Inv'!C11+'AR and Inv'!D11</f>
        <v>0</v>
      </c>
      <c r="E14" s="67">
        <f>'AR and Inv'!G11</f>
        <v>0</v>
      </c>
      <c r="F14" s="383">
        <f>('AR and Inv'!G11)-D14</f>
        <v>0</v>
      </c>
      <c r="G14" s="25">
        <f t="shared" si="0"/>
        <v>0</v>
      </c>
      <c r="H14" s="205" t="e">
        <f t="shared" si="2"/>
        <v>#DIV/0!</v>
      </c>
      <c r="I14" s="205"/>
      <c r="J14" s="25" t="e">
        <f>G14/'Prdtn &amp; Acres'!$F$12</f>
        <v>#DIV/0!</v>
      </c>
      <c r="K14" s="86" t="e">
        <f>G14/('Prdtn &amp; Acres'!$L$62/100)</f>
        <v>#DIV/0!</v>
      </c>
      <c r="L14" s="86" t="e">
        <f>G14/('Prdtn &amp; Acres'!L62/2000)</f>
        <v>#DIV/0!</v>
      </c>
      <c r="M14" s="8" t="s">
        <v>441</v>
      </c>
      <c r="P14" s="650"/>
      <c r="Q14" s="700"/>
      <c r="R14" s="700"/>
    </row>
    <row r="15" spans="1:18" x14ac:dyDescent="0.2">
      <c r="A15" s="150" t="s">
        <v>652</v>
      </c>
      <c r="B15" s="732"/>
      <c r="C15" s="478">
        <f t="shared" si="1"/>
        <v>0</v>
      </c>
      <c r="D15" s="164">
        <f>'AR and Inv'!C14+'AR and Inv'!D14</f>
        <v>0</v>
      </c>
      <c r="E15" s="2">
        <f>'AR and Inv'!G14</f>
        <v>0</v>
      </c>
      <c r="F15" s="385">
        <f>('AR and Inv'!G14)-D15</f>
        <v>0</v>
      </c>
      <c r="G15" s="3">
        <f t="shared" si="0"/>
        <v>0</v>
      </c>
      <c r="H15" s="204" t="e">
        <f t="shared" si="2"/>
        <v>#DIV/0!</v>
      </c>
      <c r="I15" s="204"/>
      <c r="J15" s="3" t="e">
        <f>G15/'Prdtn &amp; Acres'!$F$13</f>
        <v>#DIV/0!</v>
      </c>
      <c r="K15" s="69" t="e">
        <f>G15/('Prdtn &amp; Acres'!$L$63/100)</f>
        <v>#DIV/0!</v>
      </c>
      <c r="L15" s="69" t="e">
        <f>G15/'Prdtn &amp; Acres'!C63</f>
        <v>#DIV/0!</v>
      </c>
      <c r="M15" s="8" t="s">
        <v>443</v>
      </c>
      <c r="P15" s="650"/>
      <c r="Q15" s="700"/>
      <c r="R15" s="700"/>
    </row>
    <row r="16" spans="1:18" x14ac:dyDescent="0.2">
      <c r="A16" s="107" t="s">
        <v>653</v>
      </c>
      <c r="B16" s="443"/>
      <c r="C16" s="479">
        <f t="shared" si="1"/>
        <v>0</v>
      </c>
      <c r="D16" s="165">
        <f>'AR and Inv'!C15+'AR and Inv'!D15</f>
        <v>0</v>
      </c>
      <c r="E16" s="67">
        <f>'AR and Inv'!G15</f>
        <v>0</v>
      </c>
      <c r="F16" s="383">
        <f>('AR and Inv'!G15)-D16</f>
        <v>0</v>
      </c>
      <c r="G16" s="25">
        <f t="shared" si="0"/>
        <v>0</v>
      </c>
      <c r="H16" s="205" t="e">
        <f t="shared" si="2"/>
        <v>#DIV/0!</v>
      </c>
      <c r="I16" s="205"/>
      <c r="J16" s="25" t="e">
        <f>G16/'Prdtn &amp; Acres'!$F$14</f>
        <v>#DIV/0!</v>
      </c>
      <c r="K16" s="86" t="e">
        <f>G16/('Prdtn &amp; Acres'!$L$64/100)</f>
        <v>#DIV/0!</v>
      </c>
      <c r="L16" s="86" t="e">
        <f>G16/('Prdtn &amp; Acres'!L64/2000)</f>
        <v>#DIV/0!</v>
      </c>
      <c r="M16" s="8" t="s">
        <v>441</v>
      </c>
      <c r="P16" s="650"/>
      <c r="Q16" s="700"/>
      <c r="R16" s="700"/>
    </row>
    <row r="17" spans="1:18" x14ac:dyDescent="0.2">
      <c r="A17" s="17" t="s">
        <v>654</v>
      </c>
      <c r="B17" s="511"/>
      <c r="C17" s="478">
        <f t="shared" si="1"/>
        <v>0</v>
      </c>
      <c r="D17" s="164">
        <f>'AR and Inv'!C16+'AR and Inv'!D16</f>
        <v>0</v>
      </c>
      <c r="E17" s="2">
        <f>'AR and Inv'!G16</f>
        <v>0</v>
      </c>
      <c r="F17" s="385">
        <f>('AR and Inv'!G16)-D17</f>
        <v>0</v>
      </c>
      <c r="G17" s="3">
        <f t="shared" si="0"/>
        <v>0</v>
      </c>
      <c r="H17" s="204" t="e">
        <f t="shared" si="2"/>
        <v>#DIV/0!</v>
      </c>
      <c r="I17" s="204"/>
      <c r="J17" s="3" t="e">
        <f>G17/'Prdtn &amp; Acres'!$F$15</f>
        <v>#DIV/0!</v>
      </c>
      <c r="K17" s="91" t="e">
        <f>G17/('Prdtn &amp; Acres'!$L$65/100)</f>
        <v>#DIV/0!</v>
      </c>
      <c r="L17" s="444" t="e">
        <f>G17/('Prdtn &amp; Acres'!L65/50)</f>
        <v>#DIV/0!</v>
      </c>
      <c r="M17" s="8" t="s">
        <v>443</v>
      </c>
      <c r="P17" s="650"/>
      <c r="Q17" s="700"/>
      <c r="R17" s="700"/>
    </row>
    <row r="18" spans="1:18" x14ac:dyDescent="0.2">
      <c r="A18" s="107" t="s">
        <v>655</v>
      </c>
      <c r="B18" s="443"/>
      <c r="C18" s="479">
        <f t="shared" si="1"/>
        <v>0</v>
      </c>
      <c r="D18" s="165">
        <f>'AR and Inv'!C17+'AR and Inv'!D17</f>
        <v>0</v>
      </c>
      <c r="E18" s="67">
        <f>'AR and Inv'!G17</f>
        <v>0</v>
      </c>
      <c r="F18" s="383">
        <f>('AR and Inv'!G17)-D18</f>
        <v>0</v>
      </c>
      <c r="G18" s="25">
        <f t="shared" si="0"/>
        <v>0</v>
      </c>
      <c r="H18" s="205" t="e">
        <f t="shared" si="2"/>
        <v>#DIV/0!</v>
      </c>
      <c r="I18" s="205"/>
      <c r="J18" s="25" t="e">
        <f>G18/'Prdtn &amp; Acres'!$F$15</f>
        <v>#DIV/0!</v>
      </c>
      <c r="K18" s="86" t="e">
        <f>G18/('Prdtn &amp; Acres'!$L$65/100)</f>
        <v>#DIV/0!</v>
      </c>
      <c r="L18" s="86" t="e">
        <f>G18/'Prdtn &amp; Acres'!L66</f>
        <v>#DIV/0!</v>
      </c>
      <c r="M18" s="8" t="s">
        <v>717</v>
      </c>
      <c r="P18" s="650"/>
      <c r="Q18" s="700"/>
      <c r="R18" s="700"/>
    </row>
    <row r="19" spans="1:18" x14ac:dyDescent="0.2">
      <c r="A19" s="17" t="s">
        <v>642</v>
      </c>
      <c r="B19" s="511"/>
      <c r="C19" s="478">
        <f t="shared" si="1"/>
        <v>0</v>
      </c>
      <c r="D19" s="164">
        <f>'AR and Inv'!C18+'AR and Inv'!D18</f>
        <v>0</v>
      </c>
      <c r="E19" s="2">
        <f>'AR and Inv'!G18</f>
        <v>0</v>
      </c>
      <c r="F19" s="382">
        <f>('AR and Inv'!G18)-D19</f>
        <v>0</v>
      </c>
      <c r="G19" s="3">
        <f t="shared" si="0"/>
        <v>0</v>
      </c>
      <c r="H19" s="204" t="e">
        <f t="shared" si="2"/>
        <v>#DIV/0!</v>
      </c>
      <c r="I19" s="204"/>
      <c r="J19" s="3" t="e">
        <f>G19/'Prdtn &amp; Acres'!$F$17</f>
        <v>#DIV/0!</v>
      </c>
      <c r="K19" s="69" t="e">
        <f>G19/('Prdtn &amp; Acres'!$L$67/100)</f>
        <v>#DIV/0!</v>
      </c>
      <c r="L19" s="91" t="e">
        <f>G19/('Prdtn &amp; Acres'!L67/2000)</f>
        <v>#DIV/0!</v>
      </c>
      <c r="M19" s="8" t="s">
        <v>441</v>
      </c>
      <c r="P19" s="650"/>
      <c r="Q19" s="700"/>
      <c r="R19" s="700"/>
    </row>
    <row r="20" spans="1:18" x14ac:dyDescent="0.2">
      <c r="A20" s="17" t="s">
        <v>643</v>
      </c>
      <c r="B20" s="511"/>
      <c r="C20" s="478">
        <f t="shared" si="1"/>
        <v>0</v>
      </c>
      <c r="D20" s="164">
        <f>'AR and Inv'!C19+'AR and Inv'!D19</f>
        <v>0</v>
      </c>
      <c r="E20" s="2">
        <f>'AR and Inv'!G19</f>
        <v>0</v>
      </c>
      <c r="F20" s="382">
        <f>('AR and Inv'!G19)-D20</f>
        <v>0</v>
      </c>
      <c r="G20" s="3">
        <f t="shared" si="0"/>
        <v>0</v>
      </c>
      <c r="H20" s="204" t="e">
        <f t="shared" si="2"/>
        <v>#DIV/0!</v>
      </c>
      <c r="I20" s="204"/>
      <c r="J20" s="3" t="e">
        <f>G20/'Prdtn &amp; Acres'!$F$17</f>
        <v>#DIV/0!</v>
      </c>
      <c r="K20" s="69" t="e">
        <f>G20/('Prdtn &amp; Acres'!$L$67/100)</f>
        <v>#DIV/0!</v>
      </c>
      <c r="L20" s="91" t="e">
        <f>G20/('Prdtn &amp; Acres'!L68/2000)</f>
        <v>#DIV/0!</v>
      </c>
      <c r="M20" s="8" t="s">
        <v>441</v>
      </c>
      <c r="P20" s="650"/>
      <c r="Q20" s="700"/>
      <c r="R20" s="700"/>
    </row>
    <row r="21" spans="1:18" x14ac:dyDescent="0.2">
      <c r="A21" s="161" t="s">
        <v>656</v>
      </c>
      <c r="B21" s="443"/>
      <c r="C21" s="479">
        <f t="shared" si="1"/>
        <v>0</v>
      </c>
      <c r="D21" s="481"/>
      <c r="E21" s="481"/>
      <c r="F21" s="383">
        <f>E21-D21</f>
        <v>0</v>
      </c>
      <c r="G21" s="25">
        <f t="shared" si="0"/>
        <v>0</v>
      </c>
      <c r="H21" s="205" t="e">
        <f t="shared" si="2"/>
        <v>#DIV/0!</v>
      </c>
      <c r="I21" s="205"/>
      <c r="J21" s="25" t="e">
        <f>G21/'Prdtn &amp; Acres'!$F$17</f>
        <v>#DIV/0!</v>
      </c>
      <c r="K21" s="86" t="e">
        <f>G21/('Prdtn &amp; Acres'!$L$67/100)</f>
        <v>#DIV/0!</v>
      </c>
      <c r="L21" s="202" t="e">
        <f>G21/('Prdtn &amp; Acres'!L69/2000)</f>
        <v>#DIV/0!</v>
      </c>
      <c r="M21" s="8" t="s">
        <v>441</v>
      </c>
      <c r="P21" s="650"/>
      <c r="Q21" s="700"/>
      <c r="R21" s="700"/>
    </row>
    <row r="22" spans="1:18" x14ac:dyDescent="0.2">
      <c r="A22" s="17" t="s">
        <v>657</v>
      </c>
      <c r="B22" s="511"/>
      <c r="C22" s="478">
        <f t="shared" si="1"/>
        <v>0</v>
      </c>
      <c r="D22" s="164">
        <f>'AR and Inv'!C20+'AR and Inv'!D20</f>
        <v>0</v>
      </c>
      <c r="E22" s="482"/>
      <c r="F22" s="382">
        <f>E22-D22</f>
        <v>0</v>
      </c>
      <c r="G22" s="3">
        <f t="shared" si="0"/>
        <v>0</v>
      </c>
      <c r="H22" s="204" t="e">
        <f t="shared" si="2"/>
        <v>#DIV/0!</v>
      </c>
      <c r="I22" s="204"/>
      <c r="J22" s="3" t="e">
        <f>G22/'Prdtn &amp; Acres'!$F$20</f>
        <v>#DIV/0!</v>
      </c>
      <c r="K22" s="69" t="e">
        <f>G22/('Prdtn &amp; Acres'!$L$70/100)</f>
        <v>#DIV/0!</v>
      </c>
      <c r="L22" s="69"/>
      <c r="M22" s="8" t="s">
        <v>716</v>
      </c>
      <c r="P22" s="650"/>
      <c r="Q22" s="700"/>
      <c r="R22" s="700"/>
    </row>
    <row r="23" spans="1:18" x14ac:dyDescent="0.2">
      <c r="A23" s="17" t="s">
        <v>644</v>
      </c>
      <c r="B23" s="511"/>
      <c r="C23" s="478">
        <f t="shared" si="1"/>
        <v>0</v>
      </c>
      <c r="D23" s="482"/>
      <c r="E23" s="2">
        <f>'AR and Inv'!G20</f>
        <v>0</v>
      </c>
      <c r="F23" s="382">
        <f>('AR and Inv'!G20)-D23</f>
        <v>0</v>
      </c>
      <c r="G23" s="3">
        <f t="shared" si="0"/>
        <v>0</v>
      </c>
      <c r="H23" s="204" t="e">
        <f t="shared" si="2"/>
        <v>#DIV/0!</v>
      </c>
      <c r="I23" s="204"/>
      <c r="J23" s="3" t="e">
        <f>G23/'Prdtn &amp; Acres'!$F$21</f>
        <v>#DIV/0!</v>
      </c>
      <c r="K23" s="69" t="e">
        <f>G23/('Prdtn &amp; Acres'!$L$71/100)</f>
        <v>#DIV/0!</v>
      </c>
      <c r="L23" s="69"/>
      <c r="M23" s="8" t="s">
        <v>441</v>
      </c>
      <c r="P23" s="650"/>
      <c r="Q23" s="700"/>
      <c r="R23" s="700"/>
    </row>
    <row r="24" spans="1:18" x14ac:dyDescent="0.2">
      <c r="A24" s="17" t="s">
        <v>620</v>
      </c>
      <c r="B24" s="511"/>
      <c r="C24" s="478">
        <f t="shared" si="1"/>
        <v>0</v>
      </c>
      <c r="D24" s="164">
        <f>'AR and Inv'!C21+'AR and Inv'!D21</f>
        <v>0</v>
      </c>
      <c r="E24" s="2">
        <f>'AR and Inv'!G21</f>
        <v>0</v>
      </c>
      <c r="F24" s="382">
        <f>('AR and Inv'!G21)-D24</f>
        <v>0</v>
      </c>
      <c r="G24" s="3">
        <f t="shared" si="0"/>
        <v>0</v>
      </c>
      <c r="H24" s="204" t="e">
        <f t="shared" si="2"/>
        <v>#DIV/0!</v>
      </c>
      <c r="I24" s="204"/>
      <c r="J24" s="3" t="e">
        <f>G24/'Prdtn &amp; Acres'!$F$21</f>
        <v>#DIV/0!</v>
      </c>
      <c r="K24" s="69" t="e">
        <f>G24/('Prdtn &amp; Acres'!$L$72/100)</f>
        <v>#DIV/0!</v>
      </c>
      <c r="L24" s="69"/>
      <c r="M24" s="8" t="s">
        <v>441</v>
      </c>
      <c r="P24" s="650"/>
      <c r="Q24" s="700"/>
      <c r="R24" s="700"/>
    </row>
    <row r="25" spans="1:18" x14ac:dyDescent="0.2">
      <c r="A25" s="17" t="s">
        <v>658</v>
      </c>
      <c r="B25" s="511"/>
      <c r="C25" s="478">
        <f t="shared" si="1"/>
        <v>0</v>
      </c>
      <c r="D25" s="482"/>
      <c r="E25" s="482"/>
      <c r="F25" s="382">
        <f>E25-D25</f>
        <v>0</v>
      </c>
      <c r="G25" s="3">
        <f t="shared" si="0"/>
        <v>0</v>
      </c>
      <c r="H25" s="204" t="e">
        <f t="shared" si="2"/>
        <v>#DIV/0!</v>
      </c>
      <c r="I25" s="204"/>
      <c r="J25" s="3" t="e">
        <f>G25/'Prdtn &amp; Acres'!$F$23</f>
        <v>#DIV/0!</v>
      </c>
      <c r="K25" s="69" t="e">
        <f>G25/('Prdtn &amp; Acres'!$L$73/100)</f>
        <v>#DIV/0!</v>
      </c>
      <c r="L25" s="69"/>
      <c r="M25" s="8" t="s">
        <v>718</v>
      </c>
      <c r="P25" s="650"/>
      <c r="Q25" s="700"/>
      <c r="R25" s="700"/>
    </row>
    <row r="26" spans="1:18" x14ac:dyDescent="0.2">
      <c r="A26" s="17" t="s">
        <v>645</v>
      </c>
      <c r="B26" s="511"/>
      <c r="C26" s="478">
        <f t="shared" si="1"/>
        <v>0</v>
      </c>
      <c r="D26" s="164">
        <f>'AR and Inv'!C22+'AR and Inv'!D22</f>
        <v>0</v>
      </c>
      <c r="E26" s="2">
        <f>'AR and Inv'!G22</f>
        <v>0</v>
      </c>
      <c r="F26" s="382">
        <f>('AR and Inv'!G22)-D26</f>
        <v>0</v>
      </c>
      <c r="G26" s="3">
        <f t="shared" si="0"/>
        <v>0</v>
      </c>
      <c r="H26" s="204" t="e">
        <f t="shared" si="2"/>
        <v>#DIV/0!</v>
      </c>
      <c r="I26" s="204"/>
      <c r="J26" s="3" t="e">
        <f>G26/'Prdtn &amp; Acres'!$F$21</f>
        <v>#DIV/0!</v>
      </c>
      <c r="K26" s="69" t="e">
        <f>G26/('Prdtn &amp; Acres'!$L$74/100)</f>
        <v>#DIV/0!</v>
      </c>
      <c r="L26" s="69"/>
      <c r="M26" s="8" t="s">
        <v>441</v>
      </c>
      <c r="P26" s="650"/>
      <c r="Q26" s="700"/>
      <c r="R26" s="700"/>
    </row>
    <row r="27" spans="1:18" x14ac:dyDescent="0.2">
      <c r="A27" s="17" t="s">
        <v>659</v>
      </c>
      <c r="B27" s="511"/>
      <c r="C27" s="478">
        <f t="shared" si="1"/>
        <v>0</v>
      </c>
      <c r="D27" s="482"/>
      <c r="E27" s="482"/>
      <c r="F27" s="382">
        <f>E27-D27</f>
        <v>0</v>
      </c>
      <c r="G27" s="3">
        <f t="shared" si="0"/>
        <v>0</v>
      </c>
      <c r="H27" s="204" t="e">
        <f t="shared" si="2"/>
        <v>#DIV/0!</v>
      </c>
      <c r="I27" s="204"/>
      <c r="J27" s="3" t="e">
        <f>G27/'Prdtn &amp; Acres'!$F$25</f>
        <v>#DIV/0!</v>
      </c>
      <c r="K27" s="69" t="e">
        <f>G27/('Prdtn &amp; Acres'!$L$75/100)</f>
        <v>#DIV/0!</v>
      </c>
      <c r="L27" s="69"/>
      <c r="M27" s="8" t="s">
        <v>719</v>
      </c>
      <c r="P27" s="650"/>
      <c r="Q27" s="700"/>
      <c r="R27" s="700"/>
    </row>
    <row r="28" spans="1:18" x14ac:dyDescent="0.2">
      <c r="A28" s="17" t="s">
        <v>647</v>
      </c>
      <c r="B28" s="511"/>
      <c r="C28" s="478">
        <f t="shared" si="1"/>
        <v>0</v>
      </c>
      <c r="D28" s="164">
        <f>'AR and Inv'!C23+'AR and Inv'!D23</f>
        <v>0</v>
      </c>
      <c r="E28" s="2">
        <f>'AR and Inv'!G23</f>
        <v>0</v>
      </c>
      <c r="F28" s="382">
        <f>('AR and Inv'!G23)-D28</f>
        <v>0</v>
      </c>
      <c r="G28" s="3">
        <f t="shared" si="0"/>
        <v>0</v>
      </c>
      <c r="H28" s="204" t="e">
        <f t="shared" si="2"/>
        <v>#DIV/0!</v>
      </c>
      <c r="I28" s="204"/>
      <c r="J28" s="3" t="e">
        <f>G28/'Prdtn &amp; Acres'!$F$21</f>
        <v>#DIV/0!</v>
      </c>
      <c r="K28" s="69" t="e">
        <f>G28/('Prdtn &amp; Acres'!$L$76/100)</f>
        <v>#DIV/0!</v>
      </c>
      <c r="L28" s="69"/>
      <c r="M28" s="8" t="s">
        <v>717</v>
      </c>
      <c r="P28" s="650"/>
      <c r="Q28" s="700"/>
      <c r="R28" s="700"/>
    </row>
    <row r="29" spans="1:18" x14ac:dyDescent="0.2">
      <c r="A29" s="17" t="s">
        <v>663</v>
      </c>
      <c r="B29" s="511"/>
      <c r="C29" s="478">
        <f t="shared" si="1"/>
        <v>0</v>
      </c>
      <c r="D29" s="482"/>
      <c r="E29" s="482"/>
      <c r="F29" s="382">
        <f>E29-D29</f>
        <v>0</v>
      </c>
      <c r="G29" s="3">
        <f t="shared" si="0"/>
        <v>0</v>
      </c>
      <c r="H29" s="204" t="e">
        <f t="shared" si="2"/>
        <v>#DIV/0!</v>
      </c>
      <c r="I29" s="204"/>
      <c r="J29" s="3" t="e">
        <f>G29/'Prdtn &amp; Acres'!$F$27</f>
        <v>#DIV/0!</v>
      </c>
      <c r="K29" s="69" t="e">
        <f>G29/('Prdtn &amp; Acres'!$L$77/100)</f>
        <v>#DIV/0!</v>
      </c>
      <c r="L29" s="69"/>
      <c r="M29" s="8" t="s">
        <v>720</v>
      </c>
      <c r="P29" s="702">
        <f>SUM(B7:B17)</f>
        <v>0</v>
      </c>
      <c r="Q29" s="700"/>
      <c r="R29" s="700"/>
    </row>
    <row r="30" spans="1:18" x14ac:dyDescent="0.2">
      <c r="A30" s="17" t="s">
        <v>847</v>
      </c>
      <c r="B30" s="511"/>
      <c r="C30" s="478">
        <f t="shared" si="1"/>
        <v>0</v>
      </c>
      <c r="D30" s="164">
        <f>'AR and Inv'!C24+'AR and Inv'!D24</f>
        <v>0</v>
      </c>
      <c r="E30" s="2">
        <f>'AR and Inv'!G24</f>
        <v>0</v>
      </c>
      <c r="F30" s="382">
        <f>('AR and Inv'!G24)-D30</f>
        <v>0</v>
      </c>
      <c r="G30" s="3">
        <f t="shared" si="0"/>
        <v>0</v>
      </c>
      <c r="H30" s="204" t="e">
        <f t="shared" si="2"/>
        <v>#DIV/0!</v>
      </c>
      <c r="I30" s="204"/>
      <c r="J30" s="3" t="e">
        <f>G30/'Prdtn &amp; Acres'!$F$21</f>
        <v>#DIV/0!</v>
      </c>
      <c r="K30" s="69" t="e">
        <f>G30/('Prdtn &amp; Acres'!$L$78/100)</f>
        <v>#DIV/0!</v>
      </c>
      <c r="L30" s="69"/>
      <c r="M30" s="8" t="s">
        <v>717</v>
      </c>
      <c r="P30" s="650"/>
      <c r="Q30" s="700"/>
      <c r="R30" s="700"/>
    </row>
    <row r="31" spans="1:18" x14ac:dyDescent="0.2">
      <c r="A31" s="17" t="s">
        <v>664</v>
      </c>
      <c r="B31" s="511"/>
      <c r="C31" s="478">
        <f t="shared" si="1"/>
        <v>0</v>
      </c>
      <c r="D31" s="482"/>
      <c r="E31" s="482"/>
      <c r="F31" s="382">
        <f>E31-D31</f>
        <v>0</v>
      </c>
      <c r="G31" s="3">
        <f t="shared" si="0"/>
        <v>0</v>
      </c>
      <c r="H31" s="204" t="e">
        <f t="shared" si="2"/>
        <v>#DIV/0!</v>
      </c>
      <c r="I31" s="204"/>
      <c r="J31" s="3" t="e">
        <f>G31/'Prdtn &amp; Acres'!$F$21</f>
        <v>#DIV/0!</v>
      </c>
      <c r="K31" s="69" t="e">
        <f>G31/('Prdtn &amp; Acres'!$L$79/100)</f>
        <v>#DIV/0!</v>
      </c>
      <c r="L31" s="69"/>
      <c r="M31" s="8" t="s">
        <v>717</v>
      </c>
      <c r="P31" s="650"/>
      <c r="Q31" s="700"/>
      <c r="R31" s="700"/>
    </row>
    <row r="32" spans="1:18" x14ac:dyDescent="0.2">
      <c r="A32" s="107" t="s">
        <v>665</v>
      </c>
      <c r="B32" s="443"/>
      <c r="C32" s="479">
        <f t="shared" si="1"/>
        <v>0</v>
      </c>
      <c r="D32" s="165">
        <f>'AR and Inv'!C25+'AR and Inv'!D25</f>
        <v>0</v>
      </c>
      <c r="E32" s="67">
        <f>'AR and Inv'!G25</f>
        <v>0</v>
      </c>
      <c r="F32" s="383">
        <f>('AR and Inv'!G25)-D32</f>
        <v>0</v>
      </c>
      <c r="G32" s="25">
        <f t="shared" si="0"/>
        <v>0</v>
      </c>
      <c r="H32" s="205" t="e">
        <f t="shared" si="2"/>
        <v>#DIV/0!</v>
      </c>
      <c r="I32" s="205"/>
      <c r="J32" s="25" t="e">
        <f>G32/'Prdtn &amp; Acres'!$F$29</f>
        <v>#DIV/0!</v>
      </c>
      <c r="K32" s="86" t="e">
        <f>G32/('Prdtn &amp; Acres'!$L$80/100)</f>
        <v>#DIV/0!</v>
      </c>
      <c r="L32" s="86"/>
      <c r="M32" s="8" t="s">
        <v>717</v>
      </c>
      <c r="P32" s="650"/>
      <c r="Q32" s="700"/>
      <c r="R32" s="700"/>
    </row>
    <row r="33" spans="1:18" x14ac:dyDescent="0.2">
      <c r="A33" s="182" t="str">
        <f>'Prdtn &amp; Acres'!B81</f>
        <v>Other Crops:  Pumpkins</v>
      </c>
      <c r="B33" s="511"/>
      <c r="C33" s="478">
        <f t="shared" si="1"/>
        <v>0</v>
      </c>
      <c r="D33" s="164">
        <f>'AR and Inv'!C26+'AR and Inv'!D26</f>
        <v>0</v>
      </c>
      <c r="E33" s="2">
        <f>'AR and Inv'!G26</f>
        <v>0</v>
      </c>
      <c r="F33" s="382">
        <f>('AR and Inv'!G26)-D33</f>
        <v>0</v>
      </c>
      <c r="G33" s="3">
        <f t="shared" si="0"/>
        <v>0</v>
      </c>
      <c r="H33" s="204" t="e">
        <f t="shared" si="2"/>
        <v>#DIV/0!</v>
      </c>
      <c r="I33" s="204"/>
      <c r="J33" s="643" t="e">
        <f>G33/'Prdtn &amp; Acres'!$F$31</f>
        <v>#DIV/0!</v>
      </c>
      <c r="K33" s="69" t="e">
        <f>G33/('Prdtn &amp; Acres'!$L$81/100)</f>
        <v>#DIV/0!</v>
      </c>
      <c r="L33" s="69"/>
      <c r="P33" s="650"/>
      <c r="Q33" s="700"/>
      <c r="R33" s="700"/>
    </row>
    <row r="34" spans="1:18" x14ac:dyDescent="0.2">
      <c r="A34" s="182" t="str">
        <f>'Prdtn &amp; Acres'!B82</f>
        <v>Corn</v>
      </c>
      <c r="B34" s="511"/>
      <c r="C34" s="478">
        <f t="shared" si="1"/>
        <v>0</v>
      </c>
      <c r="D34" s="164">
        <f>'AR and Inv'!C27+'AR and Inv'!D27</f>
        <v>0</v>
      </c>
      <c r="E34" s="2">
        <f>'AR and Inv'!G27</f>
        <v>0</v>
      </c>
      <c r="F34" s="382">
        <f>('AR and Inv'!G27)-D34</f>
        <v>0</v>
      </c>
      <c r="G34" s="3">
        <f t="shared" si="0"/>
        <v>0</v>
      </c>
      <c r="H34" s="204" t="e">
        <f t="shared" si="2"/>
        <v>#DIV/0!</v>
      </c>
      <c r="I34" s="204"/>
      <c r="J34" s="643" t="e">
        <f>G34/'Prdtn &amp; Acres'!$F$32</f>
        <v>#DIV/0!</v>
      </c>
      <c r="K34" s="69" t="e">
        <f>G34/('Prdtn &amp; Acres'!$L$82/100)</f>
        <v>#DIV/0!</v>
      </c>
      <c r="L34" s="69"/>
      <c r="P34" s="650"/>
      <c r="Q34" s="700"/>
      <c r="R34" s="700"/>
    </row>
    <row r="35" spans="1:18" x14ac:dyDescent="0.2">
      <c r="A35" s="182" t="str">
        <f>'Prdtn &amp; Acres'!B83</f>
        <v>Soybeans</v>
      </c>
      <c r="B35" s="511"/>
      <c r="C35" s="478">
        <f t="shared" si="1"/>
        <v>0</v>
      </c>
      <c r="D35" s="164">
        <f>'AR and Inv'!C28+'AR and Inv'!D28</f>
        <v>0</v>
      </c>
      <c r="E35" s="2">
        <f>'AR and Inv'!G28</f>
        <v>0</v>
      </c>
      <c r="F35" s="382">
        <f>('AR and Inv'!G28)-D35</f>
        <v>0</v>
      </c>
      <c r="G35" s="3">
        <f t="shared" si="0"/>
        <v>0</v>
      </c>
      <c r="H35" s="204" t="e">
        <f t="shared" si="2"/>
        <v>#DIV/0!</v>
      </c>
      <c r="I35" s="204"/>
      <c r="J35" s="643" t="e">
        <f>G35/'Prdtn &amp; Acres'!$F$33</f>
        <v>#DIV/0!</v>
      </c>
      <c r="K35" s="69" t="e">
        <f>G35/('Prdtn &amp; Acres'!$L$83/100)</f>
        <v>#DIV/0!</v>
      </c>
      <c r="L35" s="69"/>
      <c r="P35" s="650"/>
      <c r="Q35" s="700"/>
      <c r="R35" s="700"/>
    </row>
    <row r="36" spans="1:18" x14ac:dyDescent="0.2">
      <c r="A36" s="182" t="str">
        <f>'Prdtn &amp; Acres'!B84</f>
        <v>Onions</v>
      </c>
      <c r="B36" s="511"/>
      <c r="C36" s="478">
        <f t="shared" si="1"/>
        <v>0</v>
      </c>
      <c r="D36" s="164">
        <f>'AR and Inv'!C29+'AR and Inv'!D29</f>
        <v>0</v>
      </c>
      <c r="E36" s="2">
        <f>'AR and Inv'!G29</f>
        <v>0</v>
      </c>
      <c r="F36" s="382">
        <f>('AR and Inv'!G29)-D36</f>
        <v>0</v>
      </c>
      <c r="G36" s="3">
        <f t="shared" ref="G36:G55" si="3">B36+F36</f>
        <v>0</v>
      </c>
      <c r="H36" s="204" t="e">
        <f t="shared" si="2"/>
        <v>#DIV/0!</v>
      </c>
      <c r="I36" s="204"/>
      <c r="J36" s="643" t="e">
        <f>G36/'Prdtn &amp; Acres'!$F$34</f>
        <v>#DIV/0!</v>
      </c>
      <c r="K36" s="69" t="e">
        <f>G36/('Prdtn &amp; Acres'!$L$84/100)</f>
        <v>#DIV/0!</v>
      </c>
      <c r="L36" s="69"/>
      <c r="P36" s="650"/>
      <c r="Q36" s="700"/>
      <c r="R36" s="700"/>
    </row>
    <row r="37" spans="1:18" x14ac:dyDescent="0.2">
      <c r="A37" s="182" t="str">
        <f>'Prdtn &amp; Acres'!B85</f>
        <v>Cabbage</v>
      </c>
      <c r="B37" s="511"/>
      <c r="C37" s="478">
        <f t="shared" si="1"/>
        <v>0</v>
      </c>
      <c r="D37" s="164">
        <f>'AR and Inv'!C30+'AR and Inv'!D30</f>
        <v>0</v>
      </c>
      <c r="E37" s="2">
        <f>'AR and Inv'!G30</f>
        <v>0</v>
      </c>
      <c r="F37" s="382">
        <f>('AR and Inv'!G30)-D37</f>
        <v>0</v>
      </c>
      <c r="G37" s="3">
        <f t="shared" si="3"/>
        <v>0</v>
      </c>
      <c r="H37" s="204" t="e">
        <f t="shared" si="2"/>
        <v>#DIV/0!</v>
      </c>
      <c r="I37" s="204"/>
      <c r="J37" s="643" t="e">
        <f>G37/'Prdtn &amp; Acres'!$F$35</f>
        <v>#DIV/0!</v>
      </c>
      <c r="K37" s="69" t="e">
        <f>G37/('Prdtn &amp; Acres'!$L$85/100)</f>
        <v>#DIV/0!</v>
      </c>
      <c r="L37" s="69"/>
      <c r="P37" s="650"/>
      <c r="Q37" s="700"/>
      <c r="R37" s="700"/>
    </row>
    <row r="38" spans="1:18" x14ac:dyDescent="0.2">
      <c r="A38" s="182" t="str">
        <f>'Prdtn &amp; Acres'!B86</f>
        <v>Snap Beans</v>
      </c>
      <c r="B38" s="511"/>
      <c r="C38" s="478">
        <f t="shared" si="1"/>
        <v>0</v>
      </c>
      <c r="D38" s="164">
        <f>'AR and Inv'!C31+'AR and Inv'!D31</f>
        <v>0</v>
      </c>
      <c r="E38" s="2">
        <f>'AR and Inv'!G31</f>
        <v>0</v>
      </c>
      <c r="F38" s="382">
        <f>('AR and Inv'!G31)-D38</f>
        <v>0</v>
      </c>
      <c r="G38" s="3">
        <f t="shared" si="3"/>
        <v>0</v>
      </c>
      <c r="H38" s="204" t="e">
        <f t="shared" si="2"/>
        <v>#DIV/0!</v>
      </c>
      <c r="I38" s="204"/>
      <c r="J38" s="643" t="e">
        <f>G38/'Prdtn &amp; Acres'!$F$36</f>
        <v>#DIV/0!</v>
      </c>
      <c r="K38" s="69" t="e">
        <f>G38/('Prdtn &amp; Acres'!$L$86/100)</f>
        <v>#DIV/0!</v>
      </c>
      <c r="L38" s="69"/>
      <c r="P38" s="650"/>
      <c r="Q38" s="700"/>
      <c r="R38" s="700"/>
    </row>
    <row r="39" spans="1:18" x14ac:dyDescent="0.2">
      <c r="A39" s="182" t="str">
        <f>'Prdtn &amp; Acres'!B87</f>
        <v>Oats,Buckwheat,Rye</v>
      </c>
      <c r="B39" s="511"/>
      <c r="C39" s="478">
        <f t="shared" si="1"/>
        <v>0</v>
      </c>
      <c r="D39" s="164">
        <f>'AR and Inv'!C32+'AR and Inv'!D32</f>
        <v>0</v>
      </c>
      <c r="E39" s="2">
        <f>'AR and Inv'!G32</f>
        <v>0</v>
      </c>
      <c r="F39" s="385">
        <f>('AR and Inv'!G32)-D39</f>
        <v>0</v>
      </c>
      <c r="G39" s="14">
        <f t="shared" si="3"/>
        <v>0</v>
      </c>
      <c r="H39" s="218" t="e">
        <f t="shared" si="2"/>
        <v>#DIV/0!</v>
      </c>
      <c r="I39" s="218"/>
      <c r="J39" s="644" t="e">
        <f>G39/'Prdtn &amp; Acres'!$F$37</f>
        <v>#DIV/0!</v>
      </c>
      <c r="K39" s="69" t="e">
        <f>G39/('Prdtn &amp; Acres'!$L$87/100)</f>
        <v>#DIV/0!</v>
      </c>
      <c r="L39" s="83"/>
      <c r="P39" s="650"/>
      <c r="Q39" s="700"/>
      <c r="R39" s="700"/>
    </row>
    <row r="40" spans="1:18" x14ac:dyDescent="0.2">
      <c r="A40" s="182" t="str">
        <f>'Prdtn &amp; Acres'!B88</f>
        <v>Peas</v>
      </c>
      <c r="B40" s="511"/>
      <c r="C40" s="478">
        <f t="shared" si="1"/>
        <v>0</v>
      </c>
      <c r="D40" s="164">
        <f>'AR and Inv'!C33+'AR and Inv'!D33</f>
        <v>0</v>
      </c>
      <c r="E40" s="2">
        <f>'AR and Inv'!G33</f>
        <v>0</v>
      </c>
      <c r="F40" s="385">
        <f>('AR and Inv'!G33)-D40</f>
        <v>0</v>
      </c>
      <c r="G40" s="14">
        <f t="shared" si="3"/>
        <v>0</v>
      </c>
      <c r="H40" s="218" t="e">
        <f t="shared" si="2"/>
        <v>#DIV/0!</v>
      </c>
      <c r="I40" s="218"/>
      <c r="J40" s="644" t="e">
        <f>G40/'Prdtn &amp; Acres'!$F$37</f>
        <v>#DIV/0!</v>
      </c>
      <c r="K40" s="69" t="e">
        <f>G40/('Prdtn &amp; Acres'!$L$88/100)</f>
        <v>#DIV/0!</v>
      </c>
      <c r="L40" s="83"/>
      <c r="P40" s="650"/>
      <c r="Q40" s="700"/>
      <c r="R40" s="700"/>
    </row>
    <row r="41" spans="1:18" x14ac:dyDescent="0.2">
      <c r="A41" s="736" t="str">
        <f>'Prdtn &amp; Acres'!B89</f>
        <v>Clover hay + seed</v>
      </c>
      <c r="B41" s="511"/>
      <c r="C41" s="479">
        <f t="shared" si="1"/>
        <v>0</v>
      </c>
      <c r="D41" s="165">
        <f>'AR and Inv'!C34+'AR and Inv'!D34</f>
        <v>0</v>
      </c>
      <c r="E41" s="67">
        <f>'AR and Inv'!G34</f>
        <v>0</v>
      </c>
      <c r="F41" s="383">
        <f>('AR and Inv'!G34)-D41</f>
        <v>0</v>
      </c>
      <c r="G41" s="25">
        <f t="shared" si="3"/>
        <v>0</v>
      </c>
      <c r="H41" s="205" t="e">
        <f t="shared" si="2"/>
        <v>#DIV/0!</v>
      </c>
      <c r="I41" s="205"/>
      <c r="J41" s="645" t="e">
        <f>G41/'Prdtn &amp; Acres'!$F$37</f>
        <v>#DIV/0!</v>
      </c>
      <c r="K41" s="86" t="e">
        <f>G41/('Prdtn &amp; Acres'!$L$89/100)</f>
        <v>#DIV/0!</v>
      </c>
      <c r="L41" s="86"/>
      <c r="P41" s="650"/>
      <c r="Q41" s="700"/>
      <c r="R41" s="700"/>
    </row>
    <row r="42" spans="1:18" x14ac:dyDescent="0.2">
      <c r="A42" s="19" t="s">
        <v>384</v>
      </c>
      <c r="B42" s="166">
        <f>SUM(B33:B41)</f>
        <v>0</v>
      </c>
      <c r="C42" s="480">
        <f>SUM(C33:C41)</f>
        <v>0</v>
      </c>
      <c r="D42" s="166">
        <f>SUM(D33:D39)</f>
        <v>0</v>
      </c>
      <c r="E42" s="166">
        <f>SUM(E33:E41)</f>
        <v>0</v>
      </c>
      <c r="F42" s="386">
        <f>SUM(F33:F41)</f>
        <v>0</v>
      </c>
      <c r="G42" s="184">
        <f t="shared" si="3"/>
        <v>0</v>
      </c>
      <c r="H42" s="204" t="e">
        <f t="shared" si="2"/>
        <v>#DIV/0!</v>
      </c>
      <c r="I42" s="204"/>
      <c r="J42" s="643"/>
      <c r="K42" s="69"/>
      <c r="L42" s="69"/>
      <c r="P42" s="650"/>
      <c r="Q42" s="700"/>
      <c r="R42" s="700"/>
    </row>
    <row r="43" spans="1:18" x14ac:dyDescent="0.2">
      <c r="A43" s="17" t="s">
        <v>364</v>
      </c>
      <c r="B43" s="443"/>
      <c r="C43" s="478">
        <f t="shared" si="1"/>
        <v>0</v>
      </c>
      <c r="D43" s="164">
        <f>'AR and Inv'!C35+'AR and Inv'!D35</f>
        <v>0</v>
      </c>
      <c r="E43" s="2">
        <f>'AR and Inv'!G35</f>
        <v>0</v>
      </c>
      <c r="F43" s="382">
        <f>('AR and Inv'!G35)-D43</f>
        <v>0</v>
      </c>
      <c r="G43" s="3">
        <f t="shared" si="3"/>
        <v>0</v>
      </c>
      <c r="H43" s="204" t="e">
        <f t="shared" si="2"/>
        <v>#DIV/0!</v>
      </c>
      <c r="I43" s="204"/>
      <c r="J43" s="3"/>
      <c r="K43" s="69"/>
      <c r="L43" s="69"/>
      <c r="P43" s="650"/>
      <c r="Q43" s="700"/>
      <c r="R43" s="700"/>
    </row>
    <row r="44" spans="1:18" x14ac:dyDescent="0.2">
      <c r="A44" s="17" t="s">
        <v>852</v>
      </c>
      <c r="B44" s="511"/>
      <c r="C44" s="478">
        <f t="shared" si="1"/>
        <v>0</v>
      </c>
      <c r="D44" s="164">
        <f>'AR and Inv'!C36+'AR and Inv'!D36</f>
        <v>0</v>
      </c>
      <c r="E44" s="2">
        <f>'AR and Inv'!G36</f>
        <v>0</v>
      </c>
      <c r="F44" s="382">
        <f>('AR and Inv'!G36)-D44</f>
        <v>0</v>
      </c>
      <c r="G44" s="3">
        <f t="shared" si="3"/>
        <v>0</v>
      </c>
      <c r="H44" s="204" t="e">
        <f t="shared" si="2"/>
        <v>#DIV/0!</v>
      </c>
      <c r="I44" s="204"/>
      <c r="J44" s="3"/>
      <c r="K44" s="69"/>
      <c r="L44" s="69"/>
      <c r="P44" s="650"/>
      <c r="Q44" s="700"/>
      <c r="R44" s="700"/>
    </row>
    <row r="45" spans="1:18" x14ac:dyDescent="0.2">
      <c r="A45" s="17" t="s">
        <v>365</v>
      </c>
      <c r="B45" s="511"/>
      <c r="C45" s="478">
        <f t="shared" si="1"/>
        <v>0</v>
      </c>
      <c r="D45" s="164">
        <f>'AR and Inv'!C37+'AR and Inv'!D37</f>
        <v>0</v>
      </c>
      <c r="E45" s="2">
        <f>'AR and Inv'!G37</f>
        <v>0</v>
      </c>
      <c r="F45" s="382">
        <f>('AR and Inv'!G37)-D45</f>
        <v>0</v>
      </c>
      <c r="G45" s="3">
        <f t="shared" si="3"/>
        <v>0</v>
      </c>
      <c r="H45" s="204" t="e">
        <f t="shared" si="2"/>
        <v>#DIV/0!</v>
      </c>
      <c r="I45" s="204"/>
      <c r="J45" s="3"/>
      <c r="K45" s="69"/>
      <c r="L45" s="69"/>
      <c r="P45" s="650"/>
      <c r="Q45" s="700"/>
      <c r="R45" s="700"/>
    </row>
    <row r="46" spans="1:18" x14ac:dyDescent="0.2">
      <c r="A46" s="17" t="s">
        <v>366</v>
      </c>
      <c r="B46" s="511"/>
      <c r="C46" s="478">
        <f t="shared" si="1"/>
        <v>0</v>
      </c>
      <c r="D46" s="164">
        <f>'AR and Inv'!C38+'AR and Inv'!D38</f>
        <v>0</v>
      </c>
      <c r="E46" s="2">
        <f>'AR and Inv'!G38</f>
        <v>0</v>
      </c>
      <c r="F46" s="382">
        <f>('AR and Inv'!G38)-D46</f>
        <v>0</v>
      </c>
      <c r="G46" s="3">
        <f t="shared" si="3"/>
        <v>0</v>
      </c>
      <c r="H46" s="204" t="e">
        <f t="shared" si="2"/>
        <v>#DIV/0!</v>
      </c>
      <c r="I46" s="204"/>
      <c r="J46" s="3"/>
      <c r="K46" s="69"/>
      <c r="L46" s="69"/>
      <c r="P46" s="650"/>
      <c r="Q46" s="700"/>
      <c r="R46" s="700"/>
    </row>
    <row r="47" spans="1:18" x14ac:dyDescent="0.2">
      <c r="A47" s="17" t="s">
        <v>367</v>
      </c>
      <c r="B47" s="511"/>
      <c r="C47" s="478">
        <f t="shared" si="1"/>
        <v>0</v>
      </c>
      <c r="D47" s="164">
        <f>'AR and Inv'!C39+'AR and Inv'!D39</f>
        <v>0</v>
      </c>
      <c r="E47" s="2">
        <f>'AR and Inv'!G39</f>
        <v>0</v>
      </c>
      <c r="F47" s="382">
        <f>('AR and Inv'!G39)-D47</f>
        <v>0</v>
      </c>
      <c r="G47" s="3">
        <f t="shared" si="3"/>
        <v>0</v>
      </c>
      <c r="H47" s="204" t="e">
        <f t="shared" si="2"/>
        <v>#DIV/0!</v>
      </c>
      <c r="I47" s="204"/>
      <c r="J47" s="3"/>
      <c r="K47" s="69"/>
      <c r="L47" s="69"/>
      <c r="P47" s="650"/>
      <c r="Q47" s="700"/>
      <c r="R47" s="700"/>
    </row>
    <row r="48" spans="1:18" x14ac:dyDescent="0.2">
      <c r="A48" s="17" t="s">
        <v>368</v>
      </c>
      <c r="B48" s="511"/>
      <c r="C48" s="478">
        <f t="shared" si="1"/>
        <v>0</v>
      </c>
      <c r="D48" s="164">
        <f>'AR and Inv'!C40+'AR and Inv'!D40</f>
        <v>0</v>
      </c>
      <c r="E48" s="2">
        <f>'AR and Inv'!G40</f>
        <v>0</v>
      </c>
      <c r="F48" s="382">
        <f>('AR and Inv'!G40)-D48</f>
        <v>0</v>
      </c>
      <c r="G48" s="3">
        <f t="shared" si="3"/>
        <v>0</v>
      </c>
      <c r="H48" s="204" t="e">
        <f t="shared" si="2"/>
        <v>#DIV/0!</v>
      </c>
      <c r="I48" s="204"/>
      <c r="J48" s="3"/>
      <c r="K48" s="69"/>
      <c r="L48" s="69"/>
      <c r="P48" s="650"/>
      <c r="Q48" s="700"/>
      <c r="R48" s="700"/>
    </row>
    <row r="49" spans="1:18" x14ac:dyDescent="0.2">
      <c r="A49" s="107" t="s">
        <v>369</v>
      </c>
      <c r="B49" s="443"/>
      <c r="C49" s="479">
        <f t="shared" si="1"/>
        <v>0</v>
      </c>
      <c r="D49" s="165">
        <f>'AR and Inv'!C41+'AR and Inv'!D41</f>
        <v>0</v>
      </c>
      <c r="E49" s="67">
        <f>'AR and Inv'!G41</f>
        <v>0</v>
      </c>
      <c r="F49" s="383">
        <f>('AR and Inv'!G41)-D49</f>
        <v>0</v>
      </c>
      <c r="G49" s="25">
        <f t="shared" si="3"/>
        <v>0</v>
      </c>
      <c r="H49" s="205" t="e">
        <f t="shared" si="2"/>
        <v>#DIV/0!</v>
      </c>
      <c r="I49" s="205"/>
      <c r="J49" s="25"/>
      <c r="K49" s="86"/>
      <c r="L49" s="86"/>
      <c r="P49" s="650"/>
      <c r="Q49" s="700"/>
      <c r="R49" s="700"/>
    </row>
    <row r="50" spans="1:18" x14ac:dyDescent="0.2">
      <c r="A50" s="17" t="s">
        <v>832</v>
      </c>
      <c r="B50" s="511"/>
      <c r="C50" s="478">
        <f t="shared" si="1"/>
        <v>0</v>
      </c>
      <c r="D50" s="164">
        <f>'AR and Inv'!C44+'AR and Inv'!D44</f>
        <v>0</v>
      </c>
      <c r="E50" s="2">
        <f>'AR and Inv'!G44</f>
        <v>0</v>
      </c>
      <c r="F50" s="382">
        <f>('AR and Inv'!G44)-D50</f>
        <v>0</v>
      </c>
      <c r="G50" s="3">
        <f t="shared" si="3"/>
        <v>0</v>
      </c>
      <c r="H50" s="204" t="e">
        <f t="shared" si="2"/>
        <v>#DIV/0!</v>
      </c>
      <c r="I50" s="204"/>
      <c r="J50" s="3"/>
      <c r="K50" s="69"/>
      <c r="L50" s="69"/>
      <c r="P50" s="650"/>
      <c r="Q50" s="700"/>
      <c r="R50" s="700"/>
    </row>
    <row r="51" spans="1:18" x14ac:dyDescent="0.2">
      <c r="A51" s="17" t="s">
        <v>547</v>
      </c>
      <c r="B51" s="511"/>
      <c r="C51" s="478">
        <f t="shared" si="1"/>
        <v>0</v>
      </c>
      <c r="D51" s="164">
        <f>'AR and Inv'!C42+'AR and Inv'!D42</f>
        <v>0</v>
      </c>
      <c r="E51" s="2">
        <f>'AR and Inv'!G42</f>
        <v>0</v>
      </c>
      <c r="F51" s="382">
        <f>('AR and Inv'!G42)-D51</f>
        <v>0</v>
      </c>
      <c r="G51" s="3">
        <f t="shared" si="3"/>
        <v>0</v>
      </c>
      <c r="H51" s="204" t="e">
        <f t="shared" si="2"/>
        <v>#DIV/0!</v>
      </c>
      <c r="I51" s="204"/>
      <c r="J51" s="3"/>
      <c r="K51" s="69"/>
      <c r="L51" s="69"/>
      <c r="P51" s="650"/>
      <c r="Q51" s="700"/>
      <c r="R51" s="700"/>
    </row>
    <row r="52" spans="1:18" x14ac:dyDescent="0.2">
      <c r="A52" s="17" t="s">
        <v>23</v>
      </c>
      <c r="B52" s="511"/>
      <c r="C52" s="478">
        <f t="shared" si="1"/>
        <v>0</v>
      </c>
      <c r="D52" s="164">
        <f>'AR and Inv'!C43+'AR and Inv'!D43</f>
        <v>0</v>
      </c>
      <c r="E52" s="82">
        <f>'AR and Inv'!G43</f>
        <v>0</v>
      </c>
      <c r="F52" s="385">
        <f>('AR and Inv'!G43)-D52</f>
        <v>0</v>
      </c>
      <c r="G52" s="14">
        <f t="shared" si="3"/>
        <v>0</v>
      </c>
      <c r="H52" s="218" t="e">
        <f t="shared" si="2"/>
        <v>#DIV/0!</v>
      </c>
      <c r="I52" s="218"/>
      <c r="J52" s="14"/>
      <c r="K52" s="83"/>
      <c r="L52" s="83"/>
      <c r="P52" s="650"/>
      <c r="Q52" s="700"/>
      <c r="R52" s="700"/>
    </row>
    <row r="53" spans="1:18" x14ac:dyDescent="0.2">
      <c r="A53" s="445" t="s">
        <v>893</v>
      </c>
      <c r="B53" s="511"/>
      <c r="C53" s="478">
        <f t="shared" si="1"/>
        <v>0</v>
      </c>
      <c r="D53" s="482"/>
      <c r="E53" s="2">
        <f>'AR and Inv'!G44</f>
        <v>0</v>
      </c>
      <c r="F53" s="382">
        <f>('AR and Inv'!G44)-D53</f>
        <v>0</v>
      </c>
      <c r="G53" s="3">
        <f t="shared" si="3"/>
        <v>0</v>
      </c>
      <c r="H53" s="204" t="e">
        <f t="shared" si="2"/>
        <v>#DIV/0!</v>
      </c>
      <c r="I53" s="204"/>
      <c r="J53" s="3"/>
      <c r="K53" s="69"/>
      <c r="L53" s="69"/>
      <c r="P53" s="650"/>
      <c r="Q53" s="700"/>
      <c r="R53" s="700"/>
    </row>
    <row r="54" spans="1:18" x14ac:dyDescent="0.2">
      <c r="A54" s="107" t="s">
        <v>6</v>
      </c>
      <c r="B54" s="443"/>
      <c r="C54" s="479">
        <f t="shared" si="1"/>
        <v>0</v>
      </c>
      <c r="D54" s="165">
        <f>'AR and Inv'!C45+'AR and Inv'!D45</f>
        <v>0</v>
      </c>
      <c r="E54" s="67">
        <f>'AR and Inv'!G45</f>
        <v>0</v>
      </c>
      <c r="F54" s="383">
        <f>('AR and Inv'!G45)-D54</f>
        <v>0</v>
      </c>
      <c r="G54" s="25">
        <f t="shared" si="3"/>
        <v>0</v>
      </c>
      <c r="H54" s="205" t="e">
        <f t="shared" si="2"/>
        <v>#DIV/0!</v>
      </c>
      <c r="I54" s="205"/>
      <c r="J54" s="25"/>
      <c r="K54" s="86"/>
      <c r="L54" s="86"/>
      <c r="P54" s="650"/>
      <c r="Q54" s="700"/>
      <c r="R54" s="700"/>
    </row>
    <row r="55" spans="1:18" x14ac:dyDescent="0.2">
      <c r="A55" s="19" t="s">
        <v>17</v>
      </c>
      <c r="B55" s="166">
        <f>SUM(B7:B32,B42:B54)</f>
        <v>0</v>
      </c>
      <c r="C55" s="166">
        <f>SUM(C7:C32,C42:C54)</f>
        <v>0</v>
      </c>
      <c r="D55" s="166">
        <f>SUM(D7:D32,D42:D54)</f>
        <v>0</v>
      </c>
      <c r="E55" s="14">
        <f>SUM(E7:E32,E42:E54)</f>
        <v>0</v>
      </c>
      <c r="F55" s="386">
        <f>SUM(F7:F32,F42:F54)</f>
        <v>0</v>
      </c>
      <c r="G55" s="3">
        <f t="shared" si="3"/>
        <v>0</v>
      </c>
      <c r="J55" s="3" t="e">
        <f>G55/'Prdtn &amp; Acres'!$F$41</f>
        <v>#DIV/0!</v>
      </c>
      <c r="K55" s="642" t="e">
        <f>G55/('Prdtn &amp; Acres'!$L$92/100)</f>
        <v>#DIV/0!</v>
      </c>
      <c r="L55" s="69"/>
      <c r="P55" s="650"/>
      <c r="Q55" s="700"/>
      <c r="R55" s="700"/>
    </row>
    <row r="56" spans="1:18" x14ac:dyDescent="0.2">
      <c r="A56" s="586" t="s">
        <v>870</v>
      </c>
      <c r="B56" s="587"/>
      <c r="C56" s="586">
        <f>B55-B56</f>
        <v>0</v>
      </c>
      <c r="D56" s="586" t="s">
        <v>851</v>
      </c>
      <c r="G56" s="587"/>
      <c r="H56" s="315" t="s">
        <v>830</v>
      </c>
    </row>
    <row r="57" spans="1:18" x14ac:dyDescent="0.2">
      <c r="A57" s="150" t="s">
        <v>456</v>
      </c>
      <c r="B57" s="447"/>
      <c r="G57" s="588">
        <f>B55-G56</f>
        <v>0</v>
      </c>
      <c r="H57" s="586" t="s">
        <v>851</v>
      </c>
    </row>
    <row r="58" spans="1:18" x14ac:dyDescent="0.2">
      <c r="A58" s="448" t="s">
        <v>801</v>
      </c>
      <c r="B58" s="24"/>
      <c r="C58" s="24"/>
      <c r="D58" s="428">
        <f>Assets!C88+Assets!C90</f>
        <v>0</v>
      </c>
      <c r="E58" s="97">
        <f>'AR and Inv'!G46</f>
        <v>0</v>
      </c>
      <c r="F58" s="428">
        <f>E58-D58</f>
        <v>0</v>
      </c>
      <c r="G58" s="449" t="s">
        <v>666</v>
      </c>
    </row>
    <row r="59" spans="1:18" x14ac:dyDescent="0.2">
      <c r="A59" s="451" t="s">
        <v>800</v>
      </c>
      <c r="B59" s="61"/>
      <c r="C59" s="61"/>
      <c r="D59" s="392">
        <f>D55-D58</f>
        <v>0</v>
      </c>
      <c r="E59" s="450">
        <f>E55-E58</f>
        <v>0</v>
      </c>
      <c r="F59" s="66">
        <f>F55-F58</f>
        <v>0</v>
      </c>
      <c r="G59" s="15"/>
    </row>
  </sheetData>
  <sheetProtection password="DA6F" sheet="1" objects="1" scenarios="1"/>
  <phoneticPr fontId="0" type="noConversion"/>
  <printOptions horizontalCentered="1" verticalCentered="1" gridLines="1"/>
  <pageMargins left="0.25" right="0.5" top="0.25" bottom="0.5" header="0.25" footer="0.25"/>
  <pageSetup scale="77" orientation="landscape" blackAndWhite="1" horizontalDpi="4294967294" verticalDpi="300" r:id="rId1"/>
  <headerFooter alignWithMargins="0">
    <oddFooter xml:space="preserve">&amp;L&amp;A&amp;R&amp;D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4" sqref="A4"/>
    </sheetView>
  </sheetViews>
  <sheetFormatPr defaultRowHeight="12.75" x14ac:dyDescent="0.2"/>
  <cols>
    <col min="1" max="1" width="25.7109375" customWidth="1"/>
    <col min="2" max="2" width="10.5703125" customWidth="1"/>
    <col min="3" max="3" width="9.85546875" customWidth="1"/>
    <col min="4" max="4" width="10.28515625" customWidth="1"/>
    <col min="5" max="5" width="10.140625" customWidth="1"/>
    <col min="6" max="6" width="9.5703125" customWidth="1"/>
    <col min="7" max="7" width="9" customWidth="1"/>
    <col min="8" max="8" width="9.28515625" customWidth="1"/>
  </cols>
  <sheetData>
    <row r="1" spans="1:8" x14ac:dyDescent="0.2">
      <c r="A1" s="32" t="s">
        <v>706</v>
      </c>
      <c r="B1" s="515" t="s">
        <v>703</v>
      </c>
      <c r="C1" s="38" t="s">
        <v>759</v>
      </c>
      <c r="D1" s="38" t="s">
        <v>179</v>
      </c>
      <c r="E1" s="38" t="s">
        <v>303</v>
      </c>
      <c r="F1" s="228" t="s">
        <v>303</v>
      </c>
    </row>
    <row r="2" spans="1:8" x14ac:dyDescent="0.2">
      <c r="A2" s="29"/>
      <c r="B2" s="167" t="s">
        <v>178</v>
      </c>
      <c r="C2" s="324" t="s">
        <v>767</v>
      </c>
      <c r="D2" s="397" t="str">
        <f>'Farm Info'!C5</f>
        <v>2014</v>
      </c>
      <c r="E2" s="167" t="s">
        <v>761</v>
      </c>
      <c r="F2" s="78" t="s">
        <v>760</v>
      </c>
      <c r="H2" s="328" t="s">
        <v>763</v>
      </c>
    </row>
    <row r="3" spans="1:8" x14ac:dyDescent="0.2">
      <c r="A3" s="77" t="s">
        <v>765</v>
      </c>
      <c r="B3" s="167" t="s">
        <v>60</v>
      </c>
      <c r="C3" s="397" t="str">
        <f>'Farm Info'!C5</f>
        <v>2014</v>
      </c>
      <c r="D3" s="167" t="s">
        <v>66</v>
      </c>
      <c r="E3" s="167" t="s">
        <v>762</v>
      </c>
      <c r="F3" s="78" t="s">
        <v>763</v>
      </c>
      <c r="H3" s="328" t="s">
        <v>60</v>
      </c>
    </row>
    <row r="4" spans="1:8" x14ac:dyDescent="0.2">
      <c r="A4" s="308"/>
      <c r="B4" s="313"/>
      <c r="C4" s="309"/>
      <c r="D4" s="466">
        <f>B4*C4</f>
        <v>0</v>
      </c>
      <c r="E4" s="313"/>
      <c r="F4" s="309"/>
      <c r="H4" s="7">
        <f>E4*F4</f>
        <v>0</v>
      </c>
    </row>
    <row r="5" spans="1:8" x14ac:dyDescent="0.2">
      <c r="A5" s="308"/>
      <c r="B5" s="313"/>
      <c r="C5" s="309"/>
      <c r="D5" s="466">
        <f t="shared" ref="D5:D14" si="0">B5*C5</f>
        <v>0</v>
      </c>
      <c r="E5" s="313"/>
      <c r="F5" s="309"/>
      <c r="H5" s="7">
        <f t="shared" ref="H5:H14" si="1">E5*F5</f>
        <v>0</v>
      </c>
    </row>
    <row r="6" spans="1:8" x14ac:dyDescent="0.2">
      <c r="A6" s="308"/>
      <c r="B6" s="313"/>
      <c r="C6" s="309"/>
      <c r="D6" s="466">
        <f t="shared" si="0"/>
        <v>0</v>
      </c>
      <c r="E6" s="313"/>
      <c r="F6" s="309"/>
      <c r="H6" s="7">
        <f t="shared" si="1"/>
        <v>0</v>
      </c>
    </row>
    <row r="7" spans="1:8" x14ac:dyDescent="0.2">
      <c r="A7" s="308"/>
      <c r="B7" s="313"/>
      <c r="C7" s="309"/>
      <c r="D7" s="466">
        <f t="shared" si="0"/>
        <v>0</v>
      </c>
      <c r="E7" s="313"/>
      <c r="F7" s="309"/>
      <c r="H7" s="7">
        <f t="shared" si="1"/>
        <v>0</v>
      </c>
    </row>
    <row r="8" spans="1:8" x14ac:dyDescent="0.2">
      <c r="A8" s="308"/>
      <c r="B8" s="313"/>
      <c r="C8" s="309"/>
      <c r="D8" s="466">
        <f t="shared" si="0"/>
        <v>0</v>
      </c>
      <c r="E8" s="313"/>
      <c r="F8" s="309"/>
      <c r="H8" s="7">
        <f t="shared" si="1"/>
        <v>0</v>
      </c>
    </row>
    <row r="9" spans="1:8" x14ac:dyDescent="0.2">
      <c r="A9" s="308"/>
      <c r="B9" s="313"/>
      <c r="C9" s="309"/>
      <c r="D9" s="466">
        <f t="shared" si="0"/>
        <v>0</v>
      </c>
      <c r="E9" s="313"/>
      <c r="F9" s="309"/>
      <c r="H9" s="7">
        <f t="shared" si="1"/>
        <v>0</v>
      </c>
    </row>
    <row r="10" spans="1:8" x14ac:dyDescent="0.2">
      <c r="A10" s="308"/>
      <c r="B10" s="313"/>
      <c r="C10" s="309"/>
      <c r="D10" s="466">
        <f t="shared" si="0"/>
        <v>0</v>
      </c>
      <c r="E10" s="313"/>
      <c r="F10" s="309"/>
      <c r="H10" s="7">
        <f t="shared" si="1"/>
        <v>0</v>
      </c>
    </row>
    <row r="11" spans="1:8" x14ac:dyDescent="0.2">
      <c r="A11" s="308"/>
      <c r="B11" s="313"/>
      <c r="C11" s="309"/>
      <c r="D11" s="466">
        <f t="shared" si="0"/>
        <v>0</v>
      </c>
      <c r="E11" s="313"/>
      <c r="F11" s="309"/>
      <c r="H11" s="7">
        <f t="shared" si="1"/>
        <v>0</v>
      </c>
    </row>
    <row r="12" spans="1:8" x14ac:dyDescent="0.2">
      <c r="A12" s="308"/>
      <c r="B12" s="313"/>
      <c r="C12" s="309"/>
      <c r="D12" s="466">
        <f t="shared" si="0"/>
        <v>0</v>
      </c>
      <c r="E12" s="313"/>
      <c r="F12" s="309"/>
      <c r="H12" s="7">
        <f t="shared" si="1"/>
        <v>0</v>
      </c>
    </row>
    <row r="13" spans="1:8" x14ac:dyDescent="0.2">
      <c r="A13" s="308"/>
      <c r="B13" s="313"/>
      <c r="C13" s="309"/>
      <c r="D13" s="466">
        <f t="shared" si="0"/>
        <v>0</v>
      </c>
      <c r="E13" s="313"/>
      <c r="F13" s="309"/>
      <c r="H13" s="7">
        <f t="shared" si="1"/>
        <v>0</v>
      </c>
    </row>
    <row r="14" spans="1:8" x14ac:dyDescent="0.2">
      <c r="A14" s="308"/>
      <c r="B14" s="313"/>
      <c r="C14" s="309"/>
      <c r="D14" s="466">
        <f t="shared" si="0"/>
        <v>0</v>
      </c>
      <c r="E14" s="313"/>
      <c r="F14" s="309"/>
      <c r="H14" s="7">
        <f t="shared" si="1"/>
        <v>0</v>
      </c>
    </row>
    <row r="15" spans="1:8" x14ac:dyDescent="0.2">
      <c r="A15" s="81"/>
      <c r="B15" s="512">
        <f>SUM(B4:B14)</f>
        <v>0</v>
      </c>
      <c r="C15" s="61"/>
      <c r="D15" s="467">
        <f>SUM(D4:D14)</f>
        <v>0</v>
      </c>
      <c r="E15" s="61"/>
      <c r="F15" s="15"/>
      <c r="H15" s="10">
        <f>SUM(H4:H14)</f>
        <v>0</v>
      </c>
    </row>
    <row r="16" spans="1:8" x14ac:dyDescent="0.2">
      <c r="A16" s="210" t="s">
        <v>764</v>
      </c>
      <c r="B16" s="514" t="s">
        <v>704</v>
      </c>
      <c r="C16" s="24"/>
      <c r="D16" s="468"/>
      <c r="E16" s="24"/>
      <c r="F16" s="21"/>
    </row>
    <row r="17" spans="1:8" x14ac:dyDescent="0.2">
      <c r="A17" s="308"/>
      <c r="B17" s="313"/>
      <c r="C17" s="309"/>
      <c r="D17" s="469">
        <f>B17*C17</f>
        <v>0</v>
      </c>
      <c r="E17" s="313"/>
      <c r="F17" s="309"/>
      <c r="H17" s="7">
        <f t="shared" ref="H17:H23" si="2">E17*F17</f>
        <v>0</v>
      </c>
    </row>
    <row r="18" spans="1:8" x14ac:dyDescent="0.2">
      <c r="A18" s="308"/>
      <c r="B18" s="313"/>
      <c r="C18" s="309"/>
      <c r="D18" s="469">
        <f t="shared" ref="D18:D23" si="3">B18*C18</f>
        <v>0</v>
      </c>
      <c r="E18" s="313"/>
      <c r="F18" s="309"/>
      <c r="H18" s="7">
        <f t="shared" si="2"/>
        <v>0</v>
      </c>
    </row>
    <row r="19" spans="1:8" x14ac:dyDescent="0.2">
      <c r="A19" s="308"/>
      <c r="B19" s="313"/>
      <c r="C19" s="309"/>
      <c r="D19" s="469">
        <f t="shared" si="3"/>
        <v>0</v>
      </c>
      <c r="E19" s="313"/>
      <c r="F19" s="309"/>
      <c r="H19" s="7">
        <f t="shared" si="2"/>
        <v>0</v>
      </c>
    </row>
    <row r="20" spans="1:8" x14ac:dyDescent="0.2">
      <c r="A20" s="308"/>
      <c r="B20" s="313"/>
      <c r="C20" s="309"/>
      <c r="D20" s="469">
        <f t="shared" si="3"/>
        <v>0</v>
      </c>
      <c r="E20" s="313"/>
      <c r="F20" s="309"/>
      <c r="H20" s="7">
        <f t="shared" si="2"/>
        <v>0</v>
      </c>
    </row>
    <row r="21" spans="1:8" x14ac:dyDescent="0.2">
      <c r="A21" s="308"/>
      <c r="B21" s="313"/>
      <c r="C21" s="309"/>
      <c r="D21" s="469">
        <f t="shared" si="3"/>
        <v>0</v>
      </c>
      <c r="E21" s="313"/>
      <c r="F21" s="309"/>
      <c r="H21" s="7">
        <f t="shared" si="2"/>
        <v>0</v>
      </c>
    </row>
    <row r="22" spans="1:8" x14ac:dyDescent="0.2">
      <c r="A22" s="308"/>
      <c r="B22" s="313"/>
      <c r="C22" s="309"/>
      <c r="D22" s="469">
        <f t="shared" si="3"/>
        <v>0</v>
      </c>
      <c r="E22" s="313"/>
      <c r="F22" s="309"/>
      <c r="H22" s="7">
        <f t="shared" si="2"/>
        <v>0</v>
      </c>
    </row>
    <row r="23" spans="1:8" x14ac:dyDescent="0.2">
      <c r="A23" s="308"/>
      <c r="B23" s="313"/>
      <c r="C23" s="309"/>
      <c r="D23" s="469">
        <f t="shared" si="3"/>
        <v>0</v>
      </c>
      <c r="E23" s="313"/>
      <c r="F23" s="309"/>
      <c r="H23" s="7">
        <f t="shared" si="2"/>
        <v>0</v>
      </c>
    </row>
    <row r="24" spans="1:8" x14ac:dyDescent="0.2">
      <c r="A24" s="81"/>
      <c r="B24" s="61"/>
      <c r="C24" s="61"/>
      <c r="D24" s="467">
        <f>SUM(D17:D23)</f>
        <v>0</v>
      </c>
      <c r="E24" s="326"/>
      <c r="F24" s="327"/>
      <c r="H24" s="10">
        <f>SUM(H17:H23)</f>
        <v>0</v>
      </c>
    </row>
    <row r="25" spans="1:8" x14ac:dyDescent="0.2">
      <c r="A25" t="s">
        <v>766</v>
      </c>
      <c r="B25" s="513">
        <f>SUM(B17:B23)</f>
        <v>0</v>
      </c>
      <c r="D25" s="470">
        <f>D15+D24</f>
        <v>0</v>
      </c>
      <c r="H25" s="10">
        <f>H15+H24</f>
        <v>0</v>
      </c>
    </row>
    <row r="27" spans="1:8" x14ac:dyDescent="0.2">
      <c r="A27" s="9" t="s">
        <v>702</v>
      </c>
    </row>
    <row r="28" spans="1:8" x14ac:dyDescent="0.2">
      <c r="A28" s="516" t="s">
        <v>705</v>
      </c>
    </row>
  </sheetData>
  <sheetProtection password="DA6F" sheet="1" objects="1" scenarios="1"/>
  <phoneticPr fontId="15" type="noConversion"/>
  <printOptions horizontalCentered="1" verticalCentered="1"/>
  <pageMargins left="0.75" right="0.75" top="1" bottom="1" header="0.5" footer="0.5"/>
  <pageSetup scale="105" orientation="landscape" blackAndWhite="1" draft="1" horizontalDpi="4294967295" verticalDpi="300" r:id="rId1"/>
  <headerFooter alignWithMargins="0">
    <oddFooter>&amp;L&amp;F&amp;C&amp;D&amp;R&amp;A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zoomScale="105" workbookViewId="0">
      <selection activeCell="D75" sqref="D75"/>
    </sheetView>
  </sheetViews>
  <sheetFormatPr defaultRowHeight="12.75" x14ac:dyDescent="0.2"/>
  <cols>
    <col min="1" max="1" width="4.85546875" customWidth="1"/>
    <col min="2" max="2" width="39.140625" customWidth="1"/>
    <col min="3" max="4" width="12.28515625" customWidth="1"/>
    <col min="5" max="5" width="10.42578125" customWidth="1"/>
    <col min="6" max="6" width="12.85546875" customWidth="1"/>
    <col min="7" max="8" width="6.5703125" customWidth="1"/>
    <col min="9" max="9" width="26.42578125" customWidth="1"/>
    <col min="10" max="10" width="12.7109375" customWidth="1"/>
    <col min="11" max="11" width="11.28515625" customWidth="1"/>
  </cols>
  <sheetData>
    <row r="1" spans="1:13" ht="13.5" thickBot="1" x14ac:dyDescent="0.25">
      <c r="A1" s="32" t="s">
        <v>548</v>
      </c>
      <c r="B1" s="24"/>
      <c r="C1" s="24"/>
      <c r="D1" s="24"/>
      <c r="E1" s="24"/>
      <c r="F1" s="21"/>
    </row>
    <row r="2" spans="1:13" ht="13.5" thickBot="1" x14ac:dyDescent="0.25">
      <c r="A2" s="798" t="s">
        <v>102</v>
      </c>
      <c r="B2" s="799"/>
      <c r="C2" s="799"/>
      <c r="D2" s="799"/>
      <c r="E2" s="799"/>
      <c r="F2" s="321"/>
    </row>
    <row r="3" spans="1:13" x14ac:dyDescent="0.2">
      <c r="A3" s="29"/>
      <c r="B3" s="18"/>
      <c r="C3" s="18"/>
      <c r="D3" s="18"/>
      <c r="E3" s="18"/>
      <c r="F3" s="13"/>
      <c r="H3" s="32"/>
      <c r="I3" s="24" t="s">
        <v>564</v>
      </c>
      <c r="J3" s="24"/>
      <c r="K3" s="24"/>
      <c r="L3" s="353"/>
      <c r="M3" s="365"/>
    </row>
    <row r="4" spans="1:13" x14ac:dyDescent="0.2">
      <c r="A4" s="29"/>
      <c r="B4" s="18"/>
      <c r="C4" s="18"/>
      <c r="D4" s="18"/>
      <c r="E4" s="167" t="s">
        <v>95</v>
      </c>
      <c r="F4" s="13"/>
      <c r="H4" s="29"/>
      <c r="I4" s="18"/>
      <c r="J4" s="16" t="s">
        <v>109</v>
      </c>
      <c r="K4" s="18"/>
      <c r="L4" s="18"/>
      <c r="M4" s="78" t="s">
        <v>780</v>
      </c>
    </row>
    <row r="5" spans="1:13" x14ac:dyDescent="0.2">
      <c r="A5" s="29"/>
      <c r="B5" s="169" t="s">
        <v>86</v>
      </c>
      <c r="C5" s="167" t="s">
        <v>91</v>
      </c>
      <c r="D5" s="167" t="s">
        <v>93</v>
      </c>
      <c r="E5" s="167" t="s">
        <v>96</v>
      </c>
      <c r="F5" s="13"/>
      <c r="H5" s="77" t="s">
        <v>248</v>
      </c>
      <c r="I5" s="16" t="s">
        <v>214</v>
      </c>
      <c r="J5" s="16" t="s">
        <v>110</v>
      </c>
      <c r="K5" s="167" t="s">
        <v>215</v>
      </c>
      <c r="L5" s="18" t="s">
        <v>779</v>
      </c>
      <c r="M5" s="78" t="s">
        <v>215</v>
      </c>
    </row>
    <row r="6" spans="1:13" x14ac:dyDescent="0.2">
      <c r="A6" s="29"/>
      <c r="B6" s="18" t="s">
        <v>87</v>
      </c>
      <c r="C6" s="167" t="s">
        <v>92</v>
      </c>
      <c r="D6" s="167" t="s">
        <v>94</v>
      </c>
      <c r="E6" s="167" t="s">
        <v>97</v>
      </c>
      <c r="F6" s="13"/>
      <c r="H6" s="464"/>
      <c r="I6" s="322"/>
      <c r="J6" s="354"/>
      <c r="K6" s="355"/>
      <c r="L6" s="355"/>
      <c r="M6" s="309"/>
    </row>
    <row r="7" spans="1:13" x14ac:dyDescent="0.2">
      <c r="A7" s="29">
        <v>1</v>
      </c>
      <c r="B7" s="464"/>
      <c r="C7" s="313"/>
      <c r="D7" s="370"/>
      <c r="E7" s="306" t="s">
        <v>731</v>
      </c>
      <c r="F7" s="13"/>
      <c r="H7" s="464"/>
      <c r="I7" s="322"/>
      <c r="J7" s="354"/>
      <c r="K7" s="465"/>
      <c r="L7" s="355"/>
      <c r="M7" s="309"/>
    </row>
    <row r="8" spans="1:13" x14ac:dyDescent="0.2">
      <c r="A8" s="29">
        <v>2</v>
      </c>
      <c r="B8" s="726"/>
      <c r="C8" s="313"/>
      <c r="D8" s="370"/>
      <c r="E8" s="306"/>
      <c r="F8" s="13"/>
      <c r="H8" s="464"/>
      <c r="I8" s="322"/>
      <c r="J8" s="354"/>
      <c r="K8" s="465"/>
      <c r="L8" s="356"/>
      <c r="M8" s="309"/>
    </row>
    <row r="9" spans="1:13" x14ac:dyDescent="0.2">
      <c r="A9" s="29">
        <v>3</v>
      </c>
      <c r="B9" s="731"/>
      <c r="C9" s="313"/>
      <c r="D9" s="370"/>
      <c r="E9" s="306"/>
      <c r="F9" s="13"/>
      <c r="H9" s="464"/>
      <c r="I9" s="322"/>
      <c r="J9" s="354"/>
      <c r="K9" s="355"/>
      <c r="L9" s="355"/>
      <c r="M9" s="309"/>
    </row>
    <row r="10" spans="1:13" x14ac:dyDescent="0.2">
      <c r="A10" s="29">
        <v>4</v>
      </c>
      <c r="B10" s="726"/>
      <c r="C10" s="313"/>
      <c r="D10" s="370"/>
      <c r="E10" s="306"/>
      <c r="F10" s="13"/>
      <c r="H10" s="464"/>
      <c r="I10" s="322"/>
      <c r="J10" s="354"/>
      <c r="K10" s="355"/>
      <c r="L10" s="355"/>
      <c r="M10" s="309"/>
    </row>
    <row r="11" spans="1:13" x14ac:dyDescent="0.2">
      <c r="A11" s="29">
        <v>5</v>
      </c>
      <c r="B11" s="731"/>
      <c r="C11" s="313"/>
      <c r="D11" s="370"/>
      <c r="E11" s="306"/>
      <c r="F11" s="13"/>
      <c r="H11" s="464"/>
      <c r="I11" s="322"/>
      <c r="J11" s="354"/>
      <c r="K11" s="355"/>
      <c r="L11" s="355"/>
      <c r="M11" s="309"/>
    </row>
    <row r="12" spans="1:13" x14ac:dyDescent="0.2">
      <c r="A12" s="29">
        <v>6</v>
      </c>
      <c r="B12" s="726"/>
      <c r="C12" s="726"/>
      <c r="D12" s="370"/>
      <c r="E12" s="306"/>
      <c r="F12" s="13"/>
      <c r="H12" s="464"/>
      <c r="I12" s="322"/>
      <c r="J12" s="354"/>
      <c r="K12" s="355"/>
      <c r="L12" s="355"/>
      <c r="M12" s="309"/>
    </row>
    <row r="13" spans="1:13" x14ac:dyDescent="0.2">
      <c r="A13" s="29">
        <v>7</v>
      </c>
      <c r="B13" s="731"/>
      <c r="C13" s="313"/>
      <c r="D13" s="370"/>
      <c r="E13" s="306"/>
      <c r="F13" s="13"/>
      <c r="H13" s="464"/>
      <c r="I13" s="322"/>
      <c r="J13" s="354"/>
      <c r="K13" s="355"/>
      <c r="L13" s="355"/>
      <c r="M13" s="309"/>
    </row>
    <row r="14" spans="1:13" x14ac:dyDescent="0.2">
      <c r="A14" s="29">
        <v>8</v>
      </c>
      <c r="B14" s="731"/>
      <c r="C14" s="313"/>
      <c r="D14" s="370"/>
      <c r="E14" s="306"/>
      <c r="F14" s="13"/>
      <c r="H14" s="464"/>
      <c r="I14" s="322"/>
      <c r="J14" s="354"/>
      <c r="K14" s="355"/>
      <c r="L14" s="355"/>
      <c r="M14" s="309"/>
    </row>
    <row r="15" spans="1:13" x14ac:dyDescent="0.2">
      <c r="A15" s="29">
        <v>9</v>
      </c>
      <c r="B15" s="731"/>
      <c r="C15" s="313"/>
      <c r="D15" s="370"/>
      <c r="E15" s="306"/>
      <c r="F15" s="13"/>
      <c r="H15" s="464"/>
      <c r="I15" s="322"/>
      <c r="J15" s="354"/>
      <c r="K15" s="355"/>
      <c r="L15" s="355"/>
      <c r="M15" s="309"/>
    </row>
    <row r="16" spans="1:13" x14ac:dyDescent="0.2">
      <c r="A16" s="29">
        <v>10</v>
      </c>
      <c r="B16" s="308"/>
      <c r="C16" s="313"/>
      <c r="D16" s="370"/>
      <c r="E16" s="306"/>
      <c r="F16" s="13"/>
      <c r="H16" s="464"/>
      <c r="I16" s="322"/>
      <c r="J16" s="354"/>
      <c r="K16" s="355"/>
      <c r="L16" s="355"/>
      <c r="M16" s="309"/>
    </row>
    <row r="17" spans="1:13" x14ac:dyDescent="0.2">
      <c r="A17" s="29">
        <v>11</v>
      </c>
      <c r="B17" s="308"/>
      <c r="C17" s="313"/>
      <c r="D17" s="370"/>
      <c r="E17" s="306"/>
      <c r="F17" s="13"/>
      <c r="H17" s="464"/>
      <c r="I17" s="322"/>
      <c r="J17" s="354"/>
      <c r="K17" s="355"/>
      <c r="L17" s="355"/>
      <c r="M17" s="309"/>
    </row>
    <row r="18" spans="1:13" x14ac:dyDescent="0.2">
      <c r="A18" s="29">
        <v>12</v>
      </c>
      <c r="B18" s="308"/>
      <c r="C18" s="313"/>
      <c r="D18" s="370"/>
      <c r="E18" s="306"/>
      <c r="F18" s="13"/>
      <c r="H18" s="464"/>
      <c r="I18" s="322"/>
      <c r="J18" s="354"/>
      <c r="K18" s="355"/>
      <c r="L18" s="355"/>
      <c r="M18" s="309"/>
    </row>
    <row r="19" spans="1:13" x14ac:dyDescent="0.2">
      <c r="A19" s="29">
        <v>13</v>
      </c>
      <c r="B19" s="308"/>
      <c r="C19" s="313"/>
      <c r="D19" s="370"/>
      <c r="E19" s="306"/>
      <c r="F19" s="13"/>
      <c r="H19" s="464"/>
      <c r="I19" s="322"/>
      <c r="J19" s="354"/>
      <c r="K19" s="355"/>
      <c r="L19" s="355"/>
      <c r="M19" s="309"/>
    </row>
    <row r="20" spans="1:13" x14ac:dyDescent="0.2">
      <c r="A20" s="29"/>
      <c r="B20" s="169" t="s">
        <v>90</v>
      </c>
      <c r="C20" s="14">
        <f>SUM(C7:C19)</f>
        <v>0</v>
      </c>
      <c r="D20" s="18"/>
      <c r="E20" s="18"/>
      <c r="F20" s="13"/>
      <c r="H20" s="464"/>
      <c r="I20" s="322"/>
      <c r="J20" s="354"/>
      <c r="K20" s="355"/>
      <c r="L20" s="355"/>
      <c r="M20" s="309"/>
    </row>
    <row r="21" spans="1:13" x14ac:dyDescent="0.2">
      <c r="A21" s="29"/>
      <c r="B21" s="18"/>
      <c r="C21" s="18"/>
      <c r="D21" s="18"/>
      <c r="E21" s="18"/>
      <c r="F21" s="13"/>
      <c r="H21" s="464"/>
      <c r="I21" s="322"/>
      <c r="J21" s="354"/>
      <c r="K21" s="355"/>
      <c r="L21" s="355"/>
      <c r="M21" s="309"/>
    </row>
    <row r="22" spans="1:13" x14ac:dyDescent="0.2">
      <c r="A22" s="29"/>
      <c r="B22" s="103" t="s">
        <v>88</v>
      </c>
      <c r="C22" s="16" t="s">
        <v>91</v>
      </c>
      <c r="D22" s="18"/>
      <c r="E22" s="18"/>
      <c r="F22" s="13"/>
      <c r="H22" s="464"/>
      <c r="I22" s="322"/>
      <c r="J22" s="354"/>
      <c r="K22" s="355"/>
      <c r="L22" s="355"/>
      <c r="M22" s="309"/>
    </row>
    <row r="23" spans="1:13" x14ac:dyDescent="0.2">
      <c r="A23" s="29"/>
      <c r="B23" s="88" t="s">
        <v>89</v>
      </c>
      <c r="C23" s="16" t="s">
        <v>99</v>
      </c>
      <c r="D23" s="18"/>
      <c r="E23" s="18"/>
      <c r="F23" s="13"/>
      <c r="H23" s="464"/>
      <c r="I23" s="322"/>
      <c r="J23" s="354"/>
      <c r="K23" s="355"/>
      <c r="L23" s="355"/>
      <c r="M23" s="309"/>
    </row>
    <row r="24" spans="1:13" x14ac:dyDescent="0.2">
      <c r="A24" s="29">
        <v>1</v>
      </c>
      <c r="B24" s="308" t="s">
        <v>915</v>
      </c>
      <c r="C24" s="313"/>
      <c r="D24" s="18"/>
      <c r="E24" s="18"/>
      <c r="F24" s="13"/>
      <c r="H24" s="464"/>
      <c r="I24" s="322"/>
      <c r="J24" s="354"/>
      <c r="K24" s="355"/>
      <c r="L24" s="355"/>
      <c r="M24" s="309"/>
    </row>
    <row r="25" spans="1:13" x14ac:dyDescent="0.2">
      <c r="A25" s="29">
        <v>2</v>
      </c>
      <c r="B25" s="308"/>
      <c r="C25" s="313"/>
      <c r="D25" s="18"/>
      <c r="E25" s="18"/>
      <c r="F25" s="13"/>
      <c r="H25" s="464"/>
      <c r="I25" s="322"/>
      <c r="J25" s="354"/>
      <c r="K25" s="355"/>
      <c r="L25" s="355"/>
      <c r="M25" s="309"/>
    </row>
    <row r="26" spans="1:13" x14ac:dyDescent="0.2">
      <c r="A26" s="29">
        <v>3</v>
      </c>
      <c r="B26" s="308"/>
      <c r="C26" s="313"/>
      <c r="D26" s="18"/>
      <c r="E26" s="18"/>
      <c r="F26" s="13"/>
      <c r="H26" s="464"/>
      <c r="I26" s="322"/>
      <c r="J26" s="354"/>
      <c r="K26" s="355"/>
      <c r="L26" s="355"/>
      <c r="M26" s="309"/>
    </row>
    <row r="27" spans="1:13" x14ac:dyDescent="0.2">
      <c r="A27" s="29">
        <v>4</v>
      </c>
      <c r="B27" s="308"/>
      <c r="C27" s="313"/>
      <c r="D27" s="18"/>
      <c r="E27" s="18"/>
      <c r="F27" s="13"/>
      <c r="H27" s="81"/>
      <c r="I27" s="61"/>
      <c r="J27" s="25">
        <f>SUM(J6:J26)</f>
        <v>0</v>
      </c>
      <c r="K27" s="62">
        <f>SUM(K6:K26)</f>
        <v>0</v>
      </c>
      <c r="L27" s="62">
        <f>SUM(L6:L26)</f>
        <v>0</v>
      </c>
      <c r="M27" s="62">
        <f>SUM(M6:M26)</f>
        <v>0</v>
      </c>
    </row>
    <row r="28" spans="1:13" x14ac:dyDescent="0.2">
      <c r="A28" s="29">
        <v>5</v>
      </c>
      <c r="B28" s="308"/>
      <c r="C28" s="313"/>
      <c r="D28" s="18"/>
      <c r="E28" s="18"/>
      <c r="F28" s="13"/>
    </row>
    <row r="29" spans="1:13" x14ac:dyDescent="0.2">
      <c r="A29" s="29">
        <v>6</v>
      </c>
      <c r="B29" s="308"/>
      <c r="C29" s="313"/>
      <c r="D29" s="18"/>
      <c r="E29" s="18"/>
      <c r="F29" s="13"/>
    </row>
    <row r="30" spans="1:13" x14ac:dyDescent="0.2">
      <c r="A30" s="29">
        <v>7</v>
      </c>
      <c r="B30" s="308"/>
      <c r="C30" s="313"/>
      <c r="D30" s="18"/>
      <c r="E30" s="18"/>
      <c r="F30" s="13"/>
    </row>
    <row r="31" spans="1:13" x14ac:dyDescent="0.2">
      <c r="A31" s="29">
        <v>8</v>
      </c>
      <c r="B31" s="308"/>
      <c r="C31" s="313"/>
      <c r="D31" s="18"/>
      <c r="E31" s="18"/>
      <c r="F31" s="13"/>
    </row>
    <row r="32" spans="1:13" x14ac:dyDescent="0.2">
      <c r="A32" s="29">
        <v>9</v>
      </c>
      <c r="B32" s="308"/>
      <c r="C32" s="313"/>
      <c r="D32" s="18"/>
      <c r="E32" s="18"/>
      <c r="F32" s="13"/>
    </row>
    <row r="33" spans="1:10" x14ac:dyDescent="0.2">
      <c r="A33" s="29">
        <v>10</v>
      </c>
      <c r="B33" s="308"/>
      <c r="C33" s="313"/>
      <c r="D33" s="18"/>
      <c r="E33" s="18"/>
      <c r="F33" s="13"/>
    </row>
    <row r="34" spans="1:10" x14ac:dyDescent="0.2">
      <c r="A34" s="29"/>
      <c r="B34" s="169" t="s">
        <v>98</v>
      </c>
      <c r="C34" s="14">
        <f>SUM(C24:C33)</f>
        <v>0</v>
      </c>
      <c r="D34" s="18"/>
      <c r="E34" s="18"/>
      <c r="F34" s="13"/>
    </row>
    <row r="35" spans="1:10" x14ac:dyDescent="0.2">
      <c r="A35" s="29"/>
      <c r="B35" s="18"/>
      <c r="C35" s="18"/>
      <c r="D35" s="18"/>
      <c r="E35" s="18"/>
      <c r="F35" s="13"/>
    </row>
    <row r="36" spans="1:10" x14ac:dyDescent="0.2">
      <c r="A36" s="798" t="s">
        <v>100</v>
      </c>
      <c r="B36" s="799"/>
      <c r="C36" s="799"/>
      <c r="D36" s="799"/>
      <c r="E36" s="800"/>
      <c r="F36" s="312"/>
    </row>
    <row r="37" spans="1:10" x14ac:dyDescent="0.2">
      <c r="A37" s="29"/>
      <c r="B37" s="257" t="s">
        <v>101</v>
      </c>
      <c r="C37" s="18"/>
      <c r="D37" s="18"/>
      <c r="E37" s="18"/>
      <c r="F37" s="231">
        <f>F36-F2</f>
        <v>0</v>
      </c>
    </row>
    <row r="38" spans="1:10" x14ac:dyDescent="0.2">
      <c r="A38" s="81"/>
      <c r="B38" s="258" t="s">
        <v>489</v>
      </c>
      <c r="C38" s="61"/>
      <c r="D38" s="61"/>
      <c r="E38" s="61"/>
      <c r="F38" s="223">
        <f>(F2+F36)/2</f>
        <v>0</v>
      </c>
    </row>
    <row r="40" spans="1:10" ht="13.5" thickBot="1" x14ac:dyDescent="0.25">
      <c r="A40" s="32" t="s">
        <v>549</v>
      </c>
      <c r="B40" s="24"/>
      <c r="C40" s="24"/>
      <c r="D40" s="24"/>
      <c r="E40" s="24"/>
      <c r="F40" s="21"/>
    </row>
    <row r="41" spans="1:10" ht="13.5" thickBot="1" x14ac:dyDescent="0.25">
      <c r="A41" s="798" t="s">
        <v>103</v>
      </c>
      <c r="B41" s="799"/>
      <c r="C41" s="799"/>
      <c r="D41" s="799"/>
      <c r="E41" s="799"/>
      <c r="F41" s="321"/>
    </row>
    <row r="42" spans="1:10" x14ac:dyDescent="0.2">
      <c r="A42" s="29"/>
      <c r="B42" s="18"/>
      <c r="C42" s="18"/>
      <c r="D42" s="18"/>
      <c r="E42" s="18"/>
      <c r="F42" s="13"/>
    </row>
    <row r="43" spans="1:10" x14ac:dyDescent="0.2">
      <c r="A43" s="29"/>
      <c r="B43" s="169" t="s">
        <v>104</v>
      </c>
      <c r="C43" s="16" t="s">
        <v>91</v>
      </c>
      <c r="D43" s="167" t="s">
        <v>107</v>
      </c>
      <c r="E43" s="18"/>
      <c r="F43" s="79" t="s">
        <v>109</v>
      </c>
    </row>
    <row r="44" spans="1:10" x14ac:dyDescent="0.2">
      <c r="A44" s="29"/>
      <c r="B44" s="259" t="s">
        <v>105</v>
      </c>
      <c r="C44" s="16" t="s">
        <v>92</v>
      </c>
      <c r="D44" s="167" t="s">
        <v>108</v>
      </c>
      <c r="E44" s="18"/>
      <c r="F44" s="79" t="s">
        <v>110</v>
      </c>
      <c r="I44" s="8" t="s">
        <v>278</v>
      </c>
    </row>
    <row r="45" spans="1:10" x14ac:dyDescent="0.2">
      <c r="A45" s="29">
        <v>1</v>
      </c>
      <c r="B45" s="464" t="s">
        <v>916</v>
      </c>
      <c r="C45" s="313"/>
      <c r="D45" s="313"/>
      <c r="E45" s="30"/>
      <c r="F45" s="199">
        <f>C45-D45</f>
        <v>0</v>
      </c>
      <c r="H45" s="622"/>
      <c r="I45" s="622"/>
      <c r="J45" s="622"/>
    </row>
    <row r="46" spans="1:10" x14ac:dyDescent="0.2">
      <c r="A46" s="29">
        <v>2</v>
      </c>
      <c r="B46" s="464"/>
      <c r="C46" s="313"/>
      <c r="D46" s="313"/>
      <c r="E46" s="30"/>
      <c r="F46" s="199">
        <f t="shared" ref="F46:F52" si="0">C46-D46</f>
        <v>0</v>
      </c>
      <c r="H46" s="622"/>
      <c r="I46" s="622"/>
      <c r="J46" s="622"/>
    </row>
    <row r="47" spans="1:10" x14ac:dyDescent="0.2">
      <c r="A47" s="29">
        <v>3</v>
      </c>
      <c r="B47" s="308"/>
      <c r="C47" s="313"/>
      <c r="D47" s="313"/>
      <c r="E47" s="30"/>
      <c r="F47" s="199">
        <f t="shared" si="0"/>
        <v>0</v>
      </c>
      <c r="H47" s="622"/>
      <c r="I47" s="622"/>
      <c r="J47" s="622"/>
    </row>
    <row r="48" spans="1:10" x14ac:dyDescent="0.2">
      <c r="A48" s="29">
        <v>4</v>
      </c>
      <c r="B48" s="308"/>
      <c r="C48" s="313"/>
      <c r="D48" s="313"/>
      <c r="E48" s="30"/>
      <c r="F48" s="199">
        <f t="shared" si="0"/>
        <v>0</v>
      </c>
      <c r="H48" s="622"/>
      <c r="I48" s="622"/>
      <c r="J48" s="695"/>
    </row>
    <row r="49" spans="1:10" x14ac:dyDescent="0.2">
      <c r="A49" s="29">
        <v>5</v>
      </c>
      <c r="B49" s="308"/>
      <c r="C49" s="313"/>
      <c r="D49" s="313"/>
      <c r="E49" s="30"/>
      <c r="F49" s="199">
        <f t="shared" si="0"/>
        <v>0</v>
      </c>
      <c r="H49" s="622"/>
      <c r="I49" s="622"/>
      <c r="J49" s="622"/>
    </row>
    <row r="50" spans="1:10" x14ac:dyDescent="0.2">
      <c r="A50" s="29">
        <v>6</v>
      </c>
      <c r="B50" s="308"/>
      <c r="C50" s="313"/>
      <c r="D50" s="313"/>
      <c r="E50" s="30"/>
      <c r="F50" s="199">
        <f t="shared" si="0"/>
        <v>0</v>
      </c>
      <c r="H50" s="622"/>
      <c r="I50" s="622"/>
      <c r="J50" s="622"/>
    </row>
    <row r="51" spans="1:10" x14ac:dyDescent="0.2">
      <c r="A51" s="29">
        <v>7</v>
      </c>
      <c r="B51" s="308"/>
      <c r="C51" s="313"/>
      <c r="D51" s="313"/>
      <c r="E51" s="30"/>
      <c r="F51" s="199">
        <f t="shared" si="0"/>
        <v>0</v>
      </c>
      <c r="H51" s="622"/>
      <c r="I51" s="622"/>
      <c r="J51" s="622"/>
    </row>
    <row r="52" spans="1:10" x14ac:dyDescent="0.2">
      <c r="A52" s="29">
        <v>8</v>
      </c>
      <c r="B52" s="308"/>
      <c r="C52" s="313"/>
      <c r="D52" s="313"/>
      <c r="E52" s="30"/>
      <c r="F52" s="199">
        <f t="shared" si="0"/>
        <v>0</v>
      </c>
      <c r="H52" s="622"/>
      <c r="I52" s="622"/>
      <c r="J52" s="622"/>
    </row>
    <row r="53" spans="1:10" x14ac:dyDescent="0.2">
      <c r="A53" s="29"/>
      <c r="B53" s="18" t="s">
        <v>106</v>
      </c>
      <c r="C53" s="82">
        <f>SUM(C45:C52)</f>
        <v>0</v>
      </c>
      <c r="D53" s="82">
        <f>SUM(D45:D52)</f>
        <v>0</v>
      </c>
      <c r="E53" s="18"/>
      <c r="F53" s="231">
        <f>SUM(F45:F52)</f>
        <v>0</v>
      </c>
      <c r="H53" s="624">
        <f>SUM(H45:H52)</f>
        <v>0</v>
      </c>
      <c r="J53" s="623">
        <f>SUM(J45:J52)</f>
        <v>0</v>
      </c>
    </row>
    <row r="54" spans="1:10" x14ac:dyDescent="0.2">
      <c r="A54" s="29"/>
      <c r="B54" s="18"/>
      <c r="C54" s="18"/>
      <c r="D54" s="18"/>
      <c r="E54" s="18"/>
      <c r="F54" s="13"/>
    </row>
    <row r="55" spans="1:10" x14ac:dyDescent="0.2">
      <c r="A55" s="29"/>
      <c r="B55" s="26" t="s">
        <v>47</v>
      </c>
      <c r="C55" s="228" t="s">
        <v>116</v>
      </c>
      <c r="D55" s="18"/>
      <c r="E55" s="18"/>
      <c r="F55" s="13"/>
      <c r="H55" s="622"/>
      <c r="I55" s="622"/>
      <c r="J55" s="622"/>
    </row>
    <row r="56" spans="1:10" x14ac:dyDescent="0.2">
      <c r="A56" s="29"/>
      <c r="B56" s="347" t="s">
        <v>936</v>
      </c>
      <c r="C56" s="313"/>
      <c r="D56" s="18"/>
      <c r="E56" s="18"/>
      <c r="F56" s="13"/>
      <c r="H56" s="622"/>
      <c r="I56" s="622"/>
      <c r="J56" s="622"/>
    </row>
    <row r="57" spans="1:10" x14ac:dyDescent="0.2">
      <c r="A57" s="29"/>
      <c r="B57" s="347" t="s">
        <v>937</v>
      </c>
      <c r="C57" s="313"/>
      <c r="D57" s="18"/>
      <c r="E57" s="18"/>
      <c r="F57" s="13"/>
      <c r="H57" s="622"/>
      <c r="I57" s="622"/>
      <c r="J57" s="622"/>
    </row>
    <row r="58" spans="1:10" x14ac:dyDescent="0.2">
      <c r="A58" s="29"/>
      <c r="B58" s="347" t="s">
        <v>931</v>
      </c>
      <c r="C58" s="313"/>
      <c r="D58" s="18"/>
      <c r="E58" s="18"/>
      <c r="F58" s="13"/>
      <c r="H58" s="622"/>
      <c r="I58" s="622"/>
      <c r="J58" s="622"/>
    </row>
    <row r="59" spans="1:10" x14ac:dyDescent="0.2">
      <c r="A59" s="29"/>
      <c r="B59" s="347" t="s">
        <v>898</v>
      </c>
      <c r="C59" s="313"/>
      <c r="D59" s="18"/>
      <c r="E59" s="18"/>
      <c r="F59" s="13"/>
      <c r="H59" s="622"/>
      <c r="I59" s="622"/>
      <c r="J59" s="622"/>
    </row>
    <row r="60" spans="1:10" x14ac:dyDescent="0.2">
      <c r="A60" s="29"/>
      <c r="B60" s="347" t="s">
        <v>930</v>
      </c>
      <c r="C60" s="313"/>
      <c r="D60" s="18"/>
      <c r="E60" s="18"/>
      <c r="F60" s="13"/>
      <c r="H60" s="622"/>
      <c r="I60" s="622"/>
      <c r="J60" s="622"/>
    </row>
    <row r="61" spans="1:10" x14ac:dyDescent="0.2">
      <c r="A61" s="29"/>
      <c r="B61" s="347" t="s">
        <v>903</v>
      </c>
      <c r="C61" s="313"/>
      <c r="D61" s="18"/>
      <c r="E61" s="18"/>
      <c r="F61" s="13"/>
      <c r="H61" s="622"/>
      <c r="I61" s="622"/>
      <c r="J61" s="622"/>
    </row>
    <row r="62" spans="1:10" x14ac:dyDescent="0.2">
      <c r="A62" s="29"/>
      <c r="B62" s="31" t="s">
        <v>114</v>
      </c>
      <c r="C62" s="217">
        <f>SUM(C56:C61)</f>
        <v>0</v>
      </c>
      <c r="D62" s="18"/>
      <c r="E62" s="18"/>
      <c r="F62" s="13"/>
      <c r="H62" s="622"/>
      <c r="I62" s="622"/>
      <c r="J62" s="622"/>
    </row>
    <row r="63" spans="1:10" x14ac:dyDescent="0.2">
      <c r="A63" s="29"/>
      <c r="B63" s="18"/>
      <c r="C63" s="18"/>
      <c r="D63" s="18"/>
      <c r="E63" s="18"/>
      <c r="F63" s="13"/>
      <c r="H63" s="624">
        <f>SUM(H55:H62)</f>
        <v>0</v>
      </c>
      <c r="J63" s="623">
        <f>SUM(J55:J62)</f>
        <v>0</v>
      </c>
    </row>
    <row r="64" spans="1:10" x14ac:dyDescent="0.2">
      <c r="A64" s="29"/>
      <c r="B64" s="55" t="s">
        <v>113</v>
      </c>
      <c r="C64" s="18"/>
      <c r="D64" s="18"/>
      <c r="E64" s="18"/>
      <c r="F64" s="13"/>
    </row>
    <row r="65" spans="1:12" x14ac:dyDescent="0.2">
      <c r="A65" s="29"/>
      <c r="B65" s="308"/>
      <c r="C65" s="290"/>
      <c r="D65" s="313"/>
      <c r="E65" s="18"/>
      <c r="F65" s="13"/>
      <c r="H65" s="622"/>
      <c r="I65" s="622"/>
      <c r="J65" s="622"/>
    </row>
    <row r="66" spans="1:12" x14ac:dyDescent="0.2">
      <c r="A66" s="29"/>
      <c r="B66" s="308"/>
      <c r="C66" s="290"/>
      <c r="D66" s="313"/>
      <c r="E66" s="18"/>
      <c r="F66" s="13"/>
      <c r="H66" s="622"/>
      <c r="I66" s="622"/>
      <c r="J66" s="622"/>
    </row>
    <row r="67" spans="1:12" x14ac:dyDescent="0.2">
      <c r="A67" s="29"/>
      <c r="B67" s="308"/>
      <c r="C67" s="290"/>
      <c r="D67" s="313"/>
      <c r="E67" s="18"/>
      <c r="F67" s="13"/>
      <c r="H67" s="622"/>
      <c r="I67" s="622"/>
      <c r="J67" s="622"/>
    </row>
    <row r="68" spans="1:12" x14ac:dyDescent="0.2">
      <c r="A68" s="29"/>
      <c r="B68" s="308"/>
      <c r="C68" s="290"/>
      <c r="D68" s="313"/>
      <c r="E68" s="18"/>
      <c r="F68" s="13"/>
      <c r="H68" s="622"/>
      <c r="I68" s="622"/>
      <c r="J68" s="622"/>
    </row>
    <row r="69" spans="1:12" x14ac:dyDescent="0.2">
      <c r="A69" s="29"/>
      <c r="B69" s="18" t="s">
        <v>246</v>
      </c>
      <c r="C69" s="18"/>
      <c r="D69" s="134">
        <f>SUM(D65:D68)</f>
        <v>0</v>
      </c>
      <c r="E69" s="18"/>
      <c r="F69" s="13"/>
      <c r="H69" s="622"/>
      <c r="I69" s="622"/>
      <c r="J69" s="622"/>
    </row>
    <row r="70" spans="1:12" ht="13.5" thickBot="1" x14ac:dyDescent="0.25">
      <c r="A70" s="29"/>
      <c r="B70" s="18"/>
      <c r="C70" s="18"/>
      <c r="D70" s="18"/>
      <c r="E70" s="18"/>
      <c r="F70" s="13"/>
      <c r="H70" s="624">
        <f>SUM(H65:H69)</f>
        <v>0</v>
      </c>
      <c r="J70" s="623">
        <f>SUM(J65:J69)</f>
        <v>0</v>
      </c>
    </row>
    <row r="71" spans="1:12" ht="13.5" thickBot="1" x14ac:dyDescent="0.25">
      <c r="A71" s="798" t="s">
        <v>111</v>
      </c>
      <c r="B71" s="799"/>
      <c r="C71" s="799"/>
      <c r="D71" s="799"/>
      <c r="E71" s="799"/>
      <c r="F71" s="321"/>
    </row>
    <row r="72" spans="1:12" x14ac:dyDescent="0.2">
      <c r="A72" s="29"/>
      <c r="B72" s="18" t="s">
        <v>112</v>
      </c>
      <c r="C72" s="18"/>
      <c r="D72" s="18"/>
      <c r="E72" s="18"/>
      <c r="F72" s="231">
        <f>F71-F41</f>
        <v>0</v>
      </c>
    </row>
    <row r="73" spans="1:12" x14ac:dyDescent="0.2">
      <c r="A73" s="29"/>
      <c r="B73" s="18"/>
      <c r="C73" s="574" t="s">
        <v>845</v>
      </c>
      <c r="D73" s="18"/>
      <c r="E73" s="575" t="e">
        <f>F71/'Prdtn &amp; Acres'!C44</f>
        <v>#DIV/0!</v>
      </c>
      <c r="F73" s="13"/>
      <c r="H73" s="714" t="s">
        <v>894</v>
      </c>
      <c r="I73" s="61"/>
      <c r="J73" s="61"/>
      <c r="K73" s="61"/>
      <c r="L73" s="61"/>
    </row>
    <row r="74" spans="1:12" x14ac:dyDescent="0.2">
      <c r="A74" s="29"/>
      <c r="B74" s="169" t="s">
        <v>117</v>
      </c>
      <c r="C74" s="18"/>
      <c r="D74" s="18"/>
      <c r="E74" s="18"/>
      <c r="F74" s="13"/>
      <c r="H74" s="709"/>
      <c r="I74" s="710"/>
      <c r="J74" s="711"/>
      <c r="K74" s="710"/>
      <c r="L74" s="711"/>
    </row>
    <row r="75" spans="1:12" x14ac:dyDescent="0.2">
      <c r="A75" s="29"/>
      <c r="B75" s="18" t="s">
        <v>115</v>
      </c>
      <c r="C75" s="18"/>
      <c r="D75" s="18"/>
      <c r="E75" s="313"/>
      <c r="F75" s="13"/>
      <c r="H75" s="709"/>
      <c r="I75" s="710"/>
      <c r="J75" s="712"/>
      <c r="K75" s="710"/>
      <c r="L75" s="712"/>
    </row>
    <row r="76" spans="1:12" x14ac:dyDescent="0.2">
      <c r="A76" s="29"/>
      <c r="B76" s="18" t="s">
        <v>449</v>
      </c>
      <c r="C76" s="18"/>
      <c r="D76" s="18"/>
      <c r="E76" s="313"/>
      <c r="F76" s="13"/>
      <c r="H76" s="709"/>
      <c r="I76" s="710"/>
      <c r="J76" s="712"/>
      <c r="K76" s="710"/>
      <c r="L76" s="712"/>
    </row>
    <row r="77" spans="1:12" ht="15" x14ac:dyDescent="0.25">
      <c r="A77" s="29"/>
      <c r="B77" s="721" t="s">
        <v>917</v>
      </c>
      <c r="C77" s="18"/>
      <c r="D77" s="18"/>
      <c r="E77" s="313"/>
      <c r="F77" s="13"/>
      <c r="H77" s="709"/>
      <c r="I77" s="710"/>
      <c r="J77" s="712"/>
      <c r="K77" s="710"/>
      <c r="L77" s="712"/>
    </row>
    <row r="78" spans="1:12" x14ac:dyDescent="0.2">
      <c r="A78" s="29"/>
      <c r="B78" s="18" t="s">
        <v>436</v>
      </c>
      <c r="C78" s="18"/>
      <c r="D78" s="18"/>
      <c r="E78" s="313"/>
      <c r="F78" s="13"/>
      <c r="H78" s="713"/>
      <c r="I78" s="710"/>
      <c r="J78" s="712"/>
      <c r="K78" s="710"/>
      <c r="L78" s="712"/>
    </row>
    <row r="79" spans="1:12" x14ac:dyDescent="0.2">
      <c r="A79" s="29"/>
      <c r="B79" s="259" t="s">
        <v>908</v>
      </c>
      <c r="C79" s="18"/>
      <c r="D79" s="18"/>
      <c r="E79" s="313"/>
      <c r="F79" s="13"/>
      <c r="H79" s="709"/>
      <c r="I79" s="710"/>
      <c r="J79" s="712"/>
      <c r="K79" s="710"/>
      <c r="L79" s="712"/>
    </row>
    <row r="80" spans="1:12" x14ac:dyDescent="0.2">
      <c r="A80" s="29"/>
      <c r="B80" s="169" t="s">
        <v>118</v>
      </c>
      <c r="C80" s="14"/>
      <c r="D80" s="18"/>
      <c r="E80" s="14">
        <f>SUM(E75:E79)</f>
        <v>0</v>
      </c>
      <c r="F80" s="13"/>
      <c r="H80" s="709"/>
      <c r="I80" s="710"/>
      <c r="J80" s="712"/>
      <c r="K80" s="710"/>
      <c r="L80" s="712"/>
    </row>
    <row r="81" spans="1:12" x14ac:dyDescent="0.2">
      <c r="A81" s="29"/>
      <c r="B81" s="169"/>
      <c r="C81" s="14"/>
      <c r="D81" s="18"/>
      <c r="E81" s="14"/>
      <c r="F81" s="13"/>
      <c r="H81" s="709"/>
      <c r="I81" s="710"/>
      <c r="J81" s="712"/>
      <c r="K81" s="710"/>
      <c r="L81" s="712"/>
    </row>
    <row r="82" spans="1:12" x14ac:dyDescent="0.2">
      <c r="A82" s="29"/>
      <c r="B82" s="169" t="s">
        <v>450</v>
      </c>
      <c r="C82" s="14"/>
      <c r="D82" s="18"/>
      <c r="E82" s="311"/>
      <c r="F82" s="13"/>
      <c r="H82" s="709"/>
      <c r="I82" s="710"/>
      <c r="J82" s="712"/>
      <c r="K82" s="710"/>
      <c r="L82" s="712"/>
    </row>
    <row r="83" spans="1:12" x14ac:dyDescent="0.2">
      <c r="A83" s="81"/>
      <c r="B83" s="63"/>
      <c r="C83" s="25"/>
      <c r="D83" s="61"/>
      <c r="E83" s="61"/>
      <c r="F83" s="15"/>
      <c r="H83" s="709"/>
      <c r="I83" s="710"/>
      <c r="J83" s="712"/>
      <c r="K83" s="710"/>
      <c r="L83" s="712"/>
    </row>
    <row r="84" spans="1:12" x14ac:dyDescent="0.2">
      <c r="B84" s="9" t="s">
        <v>185</v>
      </c>
      <c r="C84" s="5" t="s">
        <v>54</v>
      </c>
      <c r="D84" s="1" t="s">
        <v>55</v>
      </c>
      <c r="E84" s="8" t="s">
        <v>328</v>
      </c>
      <c r="L84" s="454"/>
    </row>
    <row r="85" spans="1:12" x14ac:dyDescent="0.2">
      <c r="B85" s="9" t="s">
        <v>187</v>
      </c>
      <c r="G85" s="1"/>
      <c r="I85" s="8" t="s">
        <v>772</v>
      </c>
      <c r="J85" s="801" t="s">
        <v>804</v>
      </c>
      <c r="K85" s="802"/>
      <c r="L85" s="454"/>
    </row>
    <row r="86" spans="1:12" x14ac:dyDescent="0.2">
      <c r="B86" t="s">
        <v>186</v>
      </c>
      <c r="C86" s="313"/>
      <c r="D86" s="313"/>
      <c r="E86" s="162">
        <f t="shared" ref="E86:E94" si="1">D86-C86</f>
        <v>0</v>
      </c>
      <c r="I86" s="371"/>
      <c r="J86" s="796" t="s">
        <v>805</v>
      </c>
      <c r="K86" s="797"/>
      <c r="L86" s="454"/>
    </row>
    <row r="87" spans="1:12" x14ac:dyDescent="0.2">
      <c r="B87" s="54" t="s">
        <v>841</v>
      </c>
      <c r="C87" s="313"/>
      <c r="D87" s="313"/>
      <c r="E87" s="162">
        <f t="shared" si="1"/>
        <v>0</v>
      </c>
      <c r="I87" s="371"/>
      <c r="J87" s="473" t="s">
        <v>824</v>
      </c>
      <c r="K87" s="46" t="s">
        <v>825</v>
      </c>
      <c r="L87" s="454"/>
    </row>
    <row r="88" spans="1:12" x14ac:dyDescent="0.2">
      <c r="B88" s="54" t="s">
        <v>188</v>
      </c>
      <c r="C88" s="474">
        <f>'AR and Inv'!C46</f>
        <v>0</v>
      </c>
      <c r="D88" s="314">
        <f>'AR and Inv'!E46</f>
        <v>0</v>
      </c>
      <c r="E88" s="162">
        <f t="shared" si="1"/>
        <v>0</v>
      </c>
      <c r="I88" s="371"/>
      <c r="J88" s="452">
        <f>C88+C90</f>
        <v>0</v>
      </c>
      <c r="K88" s="414">
        <f>D88+D90</f>
        <v>0</v>
      </c>
      <c r="L88" s="454" t="s">
        <v>802</v>
      </c>
    </row>
    <row r="89" spans="1:12" x14ac:dyDescent="0.2">
      <c r="B89" s="54" t="s">
        <v>204</v>
      </c>
      <c r="C89" s="313"/>
      <c r="D89" s="313"/>
      <c r="E89" s="162">
        <f t="shared" si="1"/>
        <v>0</v>
      </c>
      <c r="I89" s="371"/>
      <c r="J89" s="453">
        <f>'Cash Inc.'!D55</f>
        <v>0</v>
      </c>
      <c r="K89" s="415">
        <f>'Cash Inc.'!E55</f>
        <v>0</v>
      </c>
      <c r="L89" s="472" t="s">
        <v>826</v>
      </c>
    </row>
    <row r="90" spans="1:12" x14ac:dyDescent="0.2">
      <c r="B90" s="54" t="s">
        <v>189</v>
      </c>
      <c r="C90" s="474">
        <f>'AR and Inv'!D46</f>
        <v>0</v>
      </c>
      <c r="D90" s="162">
        <f>'AR and Inv'!F46</f>
        <v>0</v>
      </c>
      <c r="E90" s="162">
        <f t="shared" si="1"/>
        <v>0</v>
      </c>
      <c r="I90" s="371"/>
      <c r="J90" s="452">
        <f>J88-J89</f>
        <v>0</v>
      </c>
      <c r="K90" s="414">
        <f>K88-K89</f>
        <v>0</v>
      </c>
      <c r="L90" s="456" t="s">
        <v>807</v>
      </c>
    </row>
    <row r="91" spans="1:12" x14ac:dyDescent="0.2">
      <c r="B91" s="54" t="s">
        <v>821</v>
      </c>
      <c r="C91" s="313"/>
      <c r="D91" s="313"/>
      <c r="E91" s="162">
        <f>D91-C91</f>
        <v>0</v>
      </c>
      <c r="I91" s="371"/>
      <c r="J91" s="796" t="s">
        <v>806</v>
      </c>
      <c r="K91" s="797"/>
      <c r="L91" s="454"/>
    </row>
    <row r="92" spans="1:12" x14ac:dyDescent="0.2">
      <c r="B92" s="571" t="s">
        <v>896</v>
      </c>
      <c r="C92" s="313"/>
      <c r="D92" s="313"/>
      <c r="E92" s="162">
        <f>D92-C92</f>
        <v>0</v>
      </c>
      <c r="I92" s="371"/>
      <c r="J92" s="452">
        <f>C89</f>
        <v>0</v>
      </c>
      <c r="K92" s="414">
        <f>D89</f>
        <v>0</v>
      </c>
      <c r="L92" s="454" t="s">
        <v>802</v>
      </c>
    </row>
    <row r="93" spans="1:12" x14ac:dyDescent="0.2">
      <c r="B93" s="571" t="s">
        <v>887</v>
      </c>
      <c r="C93" s="313"/>
      <c r="D93" s="313"/>
      <c r="E93" s="162">
        <f t="shared" si="1"/>
        <v>0</v>
      </c>
      <c r="I93" s="371"/>
      <c r="J93" s="453">
        <f>Expenses!D84</f>
        <v>0</v>
      </c>
      <c r="K93" s="415">
        <f>Expenses!C84</f>
        <v>0</v>
      </c>
      <c r="L93" s="455" t="s">
        <v>803</v>
      </c>
    </row>
    <row r="94" spans="1:12" x14ac:dyDescent="0.2">
      <c r="B94" s="54" t="s">
        <v>202</v>
      </c>
      <c r="C94" s="3">
        <f>SUM(C86:C93)</f>
        <v>0</v>
      </c>
      <c r="D94" s="3">
        <f>SUM(D86:D93)</f>
        <v>0</v>
      </c>
      <c r="E94" s="162">
        <f t="shared" si="1"/>
        <v>0</v>
      </c>
      <c r="J94" s="453">
        <f>J92-J93</f>
        <v>0</v>
      </c>
      <c r="K94" s="415">
        <f>K92-K93</f>
        <v>0</v>
      </c>
      <c r="L94" s="457" t="s">
        <v>807</v>
      </c>
    </row>
    <row r="95" spans="1:12" x14ac:dyDescent="0.2">
      <c r="C95" s="7"/>
      <c r="D95" s="7"/>
      <c r="E95" s="193"/>
    </row>
    <row r="96" spans="1:12" x14ac:dyDescent="0.2">
      <c r="B96" s="9" t="s">
        <v>190</v>
      </c>
      <c r="C96" s="7"/>
      <c r="D96" s="7"/>
      <c r="E96" s="193"/>
      <c r="I96" s="8" t="s">
        <v>772</v>
      </c>
      <c r="J96" s="8" t="s">
        <v>123</v>
      </c>
      <c r="K96" s="8" t="s">
        <v>124</v>
      </c>
    </row>
    <row r="97" spans="2:12" x14ac:dyDescent="0.2">
      <c r="B97" t="s">
        <v>191</v>
      </c>
      <c r="C97" s="313"/>
      <c r="D97" s="313"/>
      <c r="E97" s="162">
        <f t="shared" ref="E97:E106" si="2">D97-C97</f>
        <v>0</v>
      </c>
      <c r="I97" s="372"/>
      <c r="J97" s="373"/>
      <c r="K97" s="373"/>
    </row>
    <row r="98" spans="2:12" x14ac:dyDescent="0.2">
      <c r="B98" t="s">
        <v>192</v>
      </c>
      <c r="C98" s="313"/>
      <c r="D98" s="313"/>
      <c r="E98" s="162">
        <f t="shared" si="2"/>
        <v>0</v>
      </c>
      <c r="I98" s="372"/>
      <c r="J98" s="373"/>
      <c r="K98" s="373"/>
    </row>
    <row r="99" spans="2:12" x14ac:dyDescent="0.2">
      <c r="B99" t="s">
        <v>193</v>
      </c>
      <c r="C99" s="7">
        <f>F2</f>
        <v>0</v>
      </c>
      <c r="D99" s="7">
        <f>F36</f>
        <v>0</v>
      </c>
      <c r="E99" s="162">
        <f t="shared" si="2"/>
        <v>0</v>
      </c>
      <c r="I99" s="372"/>
      <c r="J99" s="373"/>
      <c r="K99" s="373"/>
    </row>
    <row r="100" spans="2:12" x14ac:dyDescent="0.2">
      <c r="B100" t="s">
        <v>194</v>
      </c>
      <c r="C100" s="313"/>
      <c r="D100" s="313"/>
      <c r="E100" s="162">
        <f t="shared" si="2"/>
        <v>0</v>
      </c>
      <c r="F100" s="7"/>
      <c r="I100" s="372"/>
      <c r="J100" s="373"/>
      <c r="K100" s="373"/>
    </row>
    <row r="101" spans="2:12" x14ac:dyDescent="0.2">
      <c r="B101" t="s">
        <v>195</v>
      </c>
      <c r="C101" s="313">
        <v>0</v>
      </c>
      <c r="D101" s="313">
        <v>0</v>
      </c>
      <c r="E101" s="162">
        <f t="shared" si="2"/>
        <v>0</v>
      </c>
      <c r="I101" s="372"/>
      <c r="J101" s="373"/>
      <c r="K101" s="373"/>
    </row>
    <row r="102" spans="2:12" x14ac:dyDescent="0.2">
      <c r="B102" s="357" t="s">
        <v>2</v>
      </c>
      <c r="C102" s="313"/>
      <c r="D102" s="313"/>
      <c r="E102" s="162">
        <f t="shared" si="2"/>
        <v>0</v>
      </c>
      <c r="I102" s="372"/>
      <c r="J102" s="373"/>
      <c r="K102" s="373"/>
    </row>
    <row r="103" spans="2:12" x14ac:dyDescent="0.2">
      <c r="B103" s="357" t="s">
        <v>1</v>
      </c>
      <c r="C103" s="313"/>
      <c r="D103" s="313"/>
      <c r="E103" s="162">
        <f t="shared" si="2"/>
        <v>0</v>
      </c>
      <c r="I103" s="372"/>
      <c r="J103" s="373"/>
      <c r="K103" s="373"/>
    </row>
    <row r="104" spans="2:12" x14ac:dyDescent="0.2">
      <c r="B104" s="357" t="s">
        <v>0</v>
      </c>
      <c r="C104" s="313"/>
      <c r="D104" s="313"/>
      <c r="E104" s="162">
        <f t="shared" si="2"/>
        <v>0</v>
      </c>
      <c r="I104" s="372"/>
      <c r="J104" s="373"/>
      <c r="K104" s="373"/>
      <c r="L104" s="8" t="s">
        <v>828</v>
      </c>
    </row>
    <row r="105" spans="2:12" x14ac:dyDescent="0.2">
      <c r="B105" s="571" t="s">
        <v>897</v>
      </c>
      <c r="C105" s="313"/>
      <c r="D105" s="313"/>
      <c r="E105" s="162">
        <f t="shared" si="2"/>
        <v>0</v>
      </c>
      <c r="I105" s="422" t="s">
        <v>827</v>
      </c>
      <c r="J105" s="474">
        <f>SUM(C102:C105)</f>
        <v>0</v>
      </c>
      <c r="K105" s="474">
        <f>SUM(D102:D105)</f>
        <v>0</v>
      </c>
      <c r="L105" s="7">
        <f>K105-J105</f>
        <v>0</v>
      </c>
    </row>
    <row r="106" spans="2:12" x14ac:dyDescent="0.2">
      <c r="B106" t="s">
        <v>201</v>
      </c>
      <c r="C106" s="3">
        <f>SUM(C97:C105)</f>
        <v>0</v>
      </c>
      <c r="D106" s="3">
        <f>SUM(D97:D105)</f>
        <v>0</v>
      </c>
      <c r="E106" s="162">
        <f t="shared" si="2"/>
        <v>0</v>
      </c>
    </row>
    <row r="107" spans="2:12" x14ac:dyDescent="0.2">
      <c r="C107" s="7"/>
      <c r="D107" s="7"/>
      <c r="E107" s="193"/>
    </row>
    <row r="108" spans="2:12" x14ac:dyDescent="0.2">
      <c r="B108" s="9" t="s">
        <v>196</v>
      </c>
      <c r="C108" s="344"/>
      <c r="D108" s="344"/>
      <c r="E108" s="193"/>
      <c r="I108" s="220" t="s">
        <v>872</v>
      </c>
    </row>
    <row r="109" spans="2:12" x14ac:dyDescent="0.2">
      <c r="B109" t="s">
        <v>197</v>
      </c>
      <c r="C109" s="313"/>
      <c r="D109" s="313"/>
      <c r="E109" s="162">
        <f t="shared" ref="E109:E116" si="3">D109-C109</f>
        <v>0</v>
      </c>
      <c r="I109" s="693"/>
    </row>
    <row r="110" spans="2:12" x14ac:dyDescent="0.2">
      <c r="B110" t="s">
        <v>198</v>
      </c>
      <c r="C110" s="7">
        <f>F41</f>
        <v>0</v>
      </c>
      <c r="D110" s="7">
        <f>F71</f>
        <v>0</v>
      </c>
      <c r="E110" s="162">
        <f t="shared" si="3"/>
        <v>0</v>
      </c>
      <c r="I110" s="693"/>
    </row>
    <row r="111" spans="2:12" x14ac:dyDescent="0.2">
      <c r="B111" t="s">
        <v>199</v>
      </c>
      <c r="C111" s="313"/>
      <c r="D111" s="313"/>
      <c r="E111" s="162">
        <f t="shared" si="3"/>
        <v>0</v>
      </c>
      <c r="I111" s="693"/>
    </row>
    <row r="112" spans="2:12" x14ac:dyDescent="0.2">
      <c r="B112" t="s">
        <v>348</v>
      </c>
      <c r="C112" s="313"/>
      <c r="D112" s="313"/>
      <c r="E112" s="162">
        <f t="shared" si="3"/>
        <v>0</v>
      </c>
      <c r="I112" s="693"/>
    </row>
    <row r="113" spans="2:9" x14ac:dyDescent="0.2">
      <c r="B113" s="357" t="s">
        <v>820</v>
      </c>
      <c r="C113" s="313"/>
      <c r="D113" s="313"/>
      <c r="E113" s="162">
        <f t="shared" si="3"/>
        <v>0</v>
      </c>
      <c r="I113" s="694">
        <f>SUM(I109:I112)</f>
        <v>0</v>
      </c>
    </row>
    <row r="114" spans="2:9" x14ac:dyDescent="0.2">
      <c r="B114" t="s">
        <v>200</v>
      </c>
      <c r="C114" s="3">
        <f>SUM(C109:C113)</f>
        <v>0</v>
      </c>
      <c r="D114" s="3">
        <f>SUM(D109:D113)</f>
        <v>0</v>
      </c>
      <c r="E114" s="162">
        <f t="shared" si="3"/>
        <v>0</v>
      </c>
    </row>
    <row r="115" spans="2:9" x14ac:dyDescent="0.2">
      <c r="C115" s="7"/>
      <c r="D115" s="7"/>
      <c r="E115" s="162">
        <f t="shared" si="3"/>
        <v>0</v>
      </c>
    </row>
    <row r="116" spans="2:9" x14ac:dyDescent="0.2">
      <c r="B116" s="9" t="s">
        <v>203</v>
      </c>
      <c r="C116" s="3">
        <f>SUM(C94,C106,C114)</f>
        <v>0</v>
      </c>
      <c r="D116" s="3">
        <f>SUM(D94,D106,D114)</f>
        <v>0</v>
      </c>
      <c r="E116" s="162">
        <f t="shared" si="3"/>
        <v>0</v>
      </c>
    </row>
    <row r="117" spans="2:9" x14ac:dyDescent="0.2">
      <c r="C117" s="7"/>
      <c r="D117" s="7"/>
      <c r="E117" s="193"/>
    </row>
    <row r="118" spans="2:9" x14ac:dyDescent="0.2">
      <c r="B118" t="s">
        <v>466</v>
      </c>
      <c r="C118" s="7"/>
      <c r="D118" s="7">
        <f>(C116+D116)/2</f>
        <v>0</v>
      </c>
      <c r="E118" s="193"/>
    </row>
    <row r="119" spans="2:9" x14ac:dyDescent="0.2">
      <c r="C119" s="7"/>
      <c r="D119" s="7"/>
      <c r="E119" s="193"/>
    </row>
    <row r="120" spans="2:9" x14ac:dyDescent="0.2">
      <c r="B120" s="9"/>
      <c r="C120" s="7"/>
      <c r="D120" s="7"/>
      <c r="E120" s="162"/>
    </row>
    <row r="121" spans="2:9" x14ac:dyDescent="0.2">
      <c r="C121" s="39"/>
      <c r="D121" s="39"/>
      <c r="E121" s="162"/>
    </row>
    <row r="122" spans="2:9" x14ac:dyDescent="0.2">
      <c r="C122" s="39"/>
      <c r="D122" s="39"/>
      <c r="E122" s="162"/>
    </row>
    <row r="123" spans="2:9" x14ac:dyDescent="0.2">
      <c r="C123" s="39"/>
      <c r="D123" s="39"/>
      <c r="E123" s="162"/>
    </row>
    <row r="124" spans="2:9" x14ac:dyDescent="0.2">
      <c r="C124" s="39"/>
      <c r="D124" s="39"/>
      <c r="E124" s="162"/>
    </row>
    <row r="125" spans="2:9" x14ac:dyDescent="0.2">
      <c r="C125" s="39"/>
      <c r="D125" s="39"/>
      <c r="E125" s="162"/>
    </row>
    <row r="126" spans="2:9" x14ac:dyDescent="0.2">
      <c r="C126" s="39"/>
      <c r="D126" s="39"/>
      <c r="E126" s="162"/>
    </row>
    <row r="127" spans="2:9" x14ac:dyDescent="0.2">
      <c r="C127" s="39"/>
      <c r="D127" s="39"/>
      <c r="E127" s="162"/>
    </row>
    <row r="128" spans="2:9" x14ac:dyDescent="0.2">
      <c r="B128" s="9"/>
      <c r="C128" s="3"/>
      <c r="D128" s="3"/>
      <c r="E128" s="162"/>
    </row>
    <row r="129" spans="2:5" x14ac:dyDescent="0.2">
      <c r="C129" s="7"/>
      <c r="D129" s="7"/>
      <c r="E129" s="193"/>
    </row>
    <row r="130" spans="2:5" x14ac:dyDescent="0.2">
      <c r="B130" s="9"/>
      <c r="C130" s="3"/>
      <c r="D130" s="3"/>
      <c r="E130" s="162"/>
    </row>
  </sheetData>
  <sheetProtection password="DA6F" sheet="1"/>
  <mergeCells count="7">
    <mergeCell ref="J91:K91"/>
    <mergeCell ref="A41:E41"/>
    <mergeCell ref="A71:E71"/>
    <mergeCell ref="A2:E2"/>
    <mergeCell ref="A36:E36"/>
    <mergeCell ref="J85:K85"/>
    <mergeCell ref="J86:K86"/>
  </mergeCells>
  <phoneticPr fontId="0" type="noConversion"/>
  <printOptions horizontalCentered="1" verticalCentered="1"/>
  <pageMargins left="0.75" right="0.5" top="0.5" bottom="0.5" header="0.25" footer="0.25"/>
  <pageSetup orientation="portrait" blackAndWhite="1" draft="1" horizontalDpi="4294967295" verticalDpi="300" r:id="rId1"/>
  <headerFooter alignWithMargins="0">
    <oddHeader>&amp;LPage No:  &amp;N:&amp;P&amp;R2001 FFBS  INPUT FORM</oddHeader>
    <oddFooter>&amp;R&amp;F  &amp;A  &amp;D</oddFooter>
  </headerFooter>
  <rowBreaks count="2" manualBreakCount="2">
    <brk id="39" max="16383" man="1"/>
    <brk id="8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zoomScaleNormal="100" workbookViewId="0">
      <selection activeCell="J1" sqref="J1"/>
    </sheetView>
  </sheetViews>
  <sheetFormatPr defaultRowHeight="12.75" x14ac:dyDescent="0.2"/>
  <cols>
    <col min="1" max="1" width="3.140625" customWidth="1"/>
    <col min="2" max="2" width="21" customWidth="1"/>
    <col min="4" max="4" width="10.7109375" customWidth="1"/>
    <col min="5" max="5" width="10.5703125" customWidth="1"/>
    <col min="6" max="6" width="10.42578125" customWidth="1"/>
    <col min="7" max="7" width="12.42578125" customWidth="1"/>
    <col min="8" max="8" width="2.140625" customWidth="1"/>
    <col min="9" max="9" width="3" customWidth="1"/>
    <col min="10" max="10" width="19.28515625" customWidth="1"/>
    <col min="11" max="11" width="11.140625" customWidth="1"/>
    <col min="12" max="12" width="8.140625" customWidth="1"/>
    <col min="13" max="13" width="6.7109375" customWidth="1"/>
    <col min="14" max="14" width="9.28515625" customWidth="1"/>
    <col min="15" max="15" width="9" customWidth="1"/>
    <col min="16" max="16" width="7.5703125" customWidth="1"/>
  </cols>
  <sheetData>
    <row r="1" spans="1:18" ht="15" x14ac:dyDescent="0.25">
      <c r="B1" s="399">
        <f>'Farm Info'!C19+365</f>
        <v>42005</v>
      </c>
      <c r="C1" s="399" t="s">
        <v>796</v>
      </c>
      <c r="D1" s="399" t="s">
        <v>797</v>
      </c>
      <c r="E1" s="1" t="s">
        <v>768</v>
      </c>
      <c r="G1" s="6" t="s">
        <v>382</v>
      </c>
      <c r="H1" s="3"/>
      <c r="I1" s="3"/>
      <c r="J1" s="174" t="s">
        <v>373</v>
      </c>
      <c r="K1" s="11" t="s">
        <v>15</v>
      </c>
      <c r="L1" s="20" t="s">
        <v>22</v>
      </c>
      <c r="M1" s="20" t="s">
        <v>13</v>
      </c>
      <c r="N1" s="38" t="s">
        <v>76</v>
      </c>
      <c r="O1" s="18"/>
      <c r="P1" s="18"/>
      <c r="Q1" s="18"/>
      <c r="R1" s="18"/>
    </row>
    <row r="2" spans="1:18" x14ac:dyDescent="0.2">
      <c r="A2" s="18"/>
      <c r="B2" s="16" t="s">
        <v>244</v>
      </c>
      <c r="C2" s="398">
        <f>E2-1</f>
        <v>2013</v>
      </c>
      <c r="D2" s="398">
        <f>E2-1</f>
        <v>2013</v>
      </c>
      <c r="E2" s="398" t="str">
        <f>'Farm Info'!C5</f>
        <v>2014</v>
      </c>
      <c r="F2" s="16" t="s">
        <v>68</v>
      </c>
      <c r="G2" s="16" t="s">
        <v>383</v>
      </c>
      <c r="H2" s="3"/>
      <c r="I2" s="3"/>
      <c r="J2" s="51" t="s">
        <v>169</v>
      </c>
      <c r="K2" s="22" t="s">
        <v>13</v>
      </c>
      <c r="L2" s="23" t="s">
        <v>12</v>
      </c>
      <c r="M2" s="23" t="s">
        <v>14</v>
      </c>
      <c r="N2" s="47" t="s">
        <v>13</v>
      </c>
      <c r="O2" s="16"/>
      <c r="P2" s="16"/>
      <c r="Q2" s="16"/>
      <c r="R2" s="16"/>
    </row>
    <row r="3" spans="1:18" x14ac:dyDescent="0.2">
      <c r="A3" s="88">
        <v>1</v>
      </c>
      <c r="B3" s="17" t="s">
        <v>8</v>
      </c>
      <c r="C3" s="459"/>
      <c r="D3" s="459"/>
      <c r="E3" s="312"/>
      <c r="F3" s="82">
        <f>K16</f>
        <v>0</v>
      </c>
      <c r="G3" s="82">
        <f>SUM(E3:F3)</f>
        <v>0</v>
      </c>
      <c r="H3" s="18"/>
      <c r="I3" s="176">
        <v>1</v>
      </c>
      <c r="J3" s="322"/>
      <c r="K3" s="312"/>
      <c r="L3" s="402"/>
      <c r="M3" s="403"/>
      <c r="N3" s="414">
        <f t="shared" ref="N3:N15" si="0">L3*M3</f>
        <v>0</v>
      </c>
      <c r="O3" s="16"/>
      <c r="P3" s="16"/>
      <c r="Q3" s="16"/>
      <c r="R3" s="16"/>
    </row>
    <row r="4" spans="1:18" x14ac:dyDescent="0.2">
      <c r="A4" s="88">
        <v>2</v>
      </c>
      <c r="B4" s="17" t="s">
        <v>9</v>
      </c>
      <c r="C4" s="459"/>
      <c r="D4" s="459"/>
      <c r="E4" s="459"/>
      <c r="F4" s="82">
        <f>K28</f>
        <v>0</v>
      </c>
      <c r="G4" s="82">
        <f>SUM(E4:F4)</f>
        <v>0</v>
      </c>
      <c r="H4" s="16"/>
      <c r="I4" s="175">
        <v>2</v>
      </c>
      <c r="J4" s="322"/>
      <c r="K4" s="312"/>
      <c r="L4" s="402"/>
      <c r="M4" s="403"/>
      <c r="N4" s="414">
        <f t="shared" si="0"/>
        <v>0</v>
      </c>
      <c r="O4" s="168"/>
      <c r="P4" s="18"/>
      <c r="Q4" s="82"/>
      <c r="R4" s="82"/>
    </row>
    <row r="5" spans="1:18" x14ac:dyDescent="0.2">
      <c r="A5" s="88">
        <v>3</v>
      </c>
      <c r="B5" s="107" t="s">
        <v>10</v>
      </c>
      <c r="C5" s="459"/>
      <c r="D5" s="459"/>
      <c r="E5" s="312"/>
      <c r="F5" s="67">
        <f>K30</f>
        <v>0</v>
      </c>
      <c r="G5" s="67">
        <f>SUM(E5:F5)</f>
        <v>0</v>
      </c>
      <c r="H5" s="82"/>
      <c r="I5" s="176">
        <v>3</v>
      </c>
      <c r="J5" s="322"/>
      <c r="K5" s="312"/>
      <c r="L5" s="402"/>
      <c r="M5" s="403"/>
      <c r="N5" s="414">
        <f t="shared" si="0"/>
        <v>0</v>
      </c>
      <c r="O5" s="168"/>
      <c r="P5" s="18"/>
      <c r="Q5" s="82"/>
      <c r="R5" s="82"/>
    </row>
    <row r="6" spans="1:18" x14ac:dyDescent="0.2">
      <c r="A6" s="88">
        <v>4</v>
      </c>
      <c r="B6" s="286" t="s">
        <v>152</v>
      </c>
      <c r="C6" s="10">
        <f>SUM(C3:C5)</f>
        <v>0</v>
      </c>
      <c r="D6" s="10">
        <f>SUM(D3:D5)</f>
        <v>0</v>
      </c>
      <c r="E6" s="10">
        <f>SUM(E2:E5)</f>
        <v>0</v>
      </c>
      <c r="F6" s="10">
        <f>SUM(F2:F5)</f>
        <v>0</v>
      </c>
      <c r="G6" s="10">
        <f>SUM(G2:G5)</f>
        <v>0</v>
      </c>
      <c r="H6" s="82"/>
      <c r="I6" s="176">
        <v>4</v>
      </c>
      <c r="J6" s="322"/>
      <c r="K6" s="312"/>
      <c r="L6" s="402"/>
      <c r="M6" s="403"/>
      <c r="N6" s="414">
        <f t="shared" si="0"/>
        <v>0</v>
      </c>
      <c r="O6" s="168"/>
      <c r="P6" s="168"/>
      <c r="Q6" s="82"/>
      <c r="R6" s="82"/>
    </row>
    <row r="7" spans="1:18" x14ac:dyDescent="0.2">
      <c r="A7" s="88">
        <v>5</v>
      </c>
      <c r="B7" s="17" t="s">
        <v>5</v>
      </c>
      <c r="C7" s="459"/>
      <c r="D7" s="459"/>
      <c r="E7" s="312"/>
      <c r="F7" s="18"/>
      <c r="G7" s="82">
        <f t="shared" ref="G7:G45" si="1">SUM(E7:F7)</f>
        <v>0</v>
      </c>
      <c r="H7" s="82"/>
      <c r="I7" s="176">
        <v>5</v>
      </c>
      <c r="J7" s="322"/>
      <c r="K7" s="312"/>
      <c r="L7" s="402"/>
      <c r="M7" s="403"/>
      <c r="N7" s="414">
        <f t="shared" si="0"/>
        <v>0</v>
      </c>
      <c r="O7" s="170"/>
      <c r="P7" s="18"/>
      <c r="Q7" s="82"/>
      <c r="R7" s="82"/>
    </row>
    <row r="8" spans="1:18" x14ac:dyDescent="0.2">
      <c r="A8" s="88">
        <v>6</v>
      </c>
      <c r="B8" s="150" t="s">
        <v>818</v>
      </c>
      <c r="C8" s="459"/>
      <c r="D8" s="459"/>
      <c r="E8" s="312"/>
      <c r="G8" s="82">
        <f t="shared" si="1"/>
        <v>0</v>
      </c>
      <c r="H8" s="82"/>
      <c r="I8" s="177">
        <v>6</v>
      </c>
      <c r="J8" s="322"/>
      <c r="K8" s="312"/>
      <c r="L8" s="402"/>
      <c r="M8" s="403"/>
      <c r="N8" s="414">
        <f t="shared" si="0"/>
        <v>0</v>
      </c>
      <c r="O8" s="171"/>
      <c r="P8" s="18"/>
      <c r="Q8" s="82"/>
      <c r="R8" s="82"/>
    </row>
    <row r="9" spans="1:18" x14ac:dyDescent="0.2">
      <c r="A9" s="88">
        <v>7</v>
      </c>
      <c r="B9" s="17" t="s">
        <v>809</v>
      </c>
      <c r="C9" s="459"/>
      <c r="D9" s="459"/>
      <c r="E9" s="312"/>
      <c r="F9" s="18"/>
      <c r="G9" s="82">
        <f t="shared" si="1"/>
        <v>0</v>
      </c>
      <c r="H9" s="82"/>
      <c r="I9" s="176">
        <v>7</v>
      </c>
      <c r="J9" s="322"/>
      <c r="K9" s="312"/>
      <c r="L9" s="402"/>
      <c r="M9" s="403"/>
      <c r="N9" s="414">
        <f t="shared" si="0"/>
        <v>0</v>
      </c>
      <c r="O9" s="171"/>
      <c r="P9" s="18"/>
      <c r="Q9" s="82"/>
      <c r="R9" s="82"/>
    </row>
    <row r="10" spans="1:18" x14ac:dyDescent="0.2">
      <c r="A10" s="88">
        <v>8</v>
      </c>
      <c r="B10" s="150" t="s">
        <v>810</v>
      </c>
      <c r="C10" s="459"/>
      <c r="D10" s="459"/>
      <c r="E10" s="312"/>
      <c r="G10" s="82">
        <f t="shared" si="1"/>
        <v>0</v>
      </c>
      <c r="H10" s="82"/>
      <c r="I10" s="176">
        <v>8</v>
      </c>
      <c r="J10" s="322"/>
      <c r="K10" s="312"/>
      <c r="L10" s="402"/>
      <c r="M10" s="403"/>
      <c r="N10" s="414">
        <f t="shared" si="0"/>
        <v>0</v>
      </c>
      <c r="O10" s="171"/>
      <c r="P10" s="18"/>
      <c r="Q10" s="82"/>
      <c r="R10" s="82"/>
    </row>
    <row r="11" spans="1:18" x14ac:dyDescent="0.2">
      <c r="A11" s="88">
        <v>9</v>
      </c>
      <c r="B11" s="17" t="s">
        <v>808</v>
      </c>
      <c r="C11" s="459"/>
      <c r="D11" s="459"/>
      <c r="E11" s="312"/>
      <c r="F11" s="18"/>
      <c r="G11" s="82">
        <f t="shared" si="1"/>
        <v>0</v>
      </c>
      <c r="H11" s="82"/>
      <c r="I11" s="176">
        <v>9</v>
      </c>
      <c r="J11" s="322"/>
      <c r="K11" s="312"/>
      <c r="L11" s="402"/>
      <c r="M11" s="403"/>
      <c r="N11" s="414">
        <f t="shared" si="0"/>
        <v>0</v>
      </c>
      <c r="O11" s="171"/>
      <c r="P11" s="18"/>
      <c r="Q11" s="171"/>
      <c r="R11" s="82"/>
    </row>
    <row r="12" spans="1:18" x14ac:dyDescent="0.2">
      <c r="A12" s="88">
        <v>10</v>
      </c>
      <c r="B12" s="17" t="s">
        <v>773</v>
      </c>
      <c r="C12" s="459"/>
      <c r="D12" s="459"/>
      <c r="E12" s="312"/>
      <c r="F12" s="278">
        <f>K32</f>
        <v>0</v>
      </c>
      <c r="G12" s="82">
        <f t="shared" si="1"/>
        <v>0</v>
      </c>
      <c r="H12" s="82"/>
      <c r="I12" s="176">
        <v>10</v>
      </c>
      <c r="J12" s="322"/>
      <c r="K12" s="312"/>
      <c r="L12" s="402"/>
      <c r="M12" s="403"/>
      <c r="N12" s="414">
        <f t="shared" si="0"/>
        <v>0</v>
      </c>
      <c r="O12" s="171"/>
      <c r="P12" s="18"/>
      <c r="Q12" s="172"/>
      <c r="R12" s="82"/>
    </row>
    <row r="13" spans="1:18" x14ac:dyDescent="0.2">
      <c r="A13" s="88">
        <v>11</v>
      </c>
      <c r="B13" s="150" t="s">
        <v>811</v>
      </c>
      <c r="C13" s="459"/>
      <c r="D13" s="459"/>
      <c r="E13" s="312"/>
      <c r="G13" s="82">
        <f t="shared" si="1"/>
        <v>0</v>
      </c>
      <c r="H13" s="82"/>
      <c r="I13" s="176">
        <v>11</v>
      </c>
      <c r="J13" s="322"/>
      <c r="K13" s="312"/>
      <c r="L13" s="402"/>
      <c r="M13" s="403"/>
      <c r="N13" s="414">
        <f t="shared" si="0"/>
        <v>0</v>
      </c>
      <c r="O13" s="171"/>
      <c r="P13" s="18"/>
      <c r="Q13" s="172"/>
      <c r="R13" s="82"/>
    </row>
    <row r="14" spans="1:18" x14ac:dyDescent="0.2">
      <c r="A14" s="88">
        <v>12</v>
      </c>
      <c r="B14" s="150" t="s">
        <v>641</v>
      </c>
      <c r="C14" s="459"/>
      <c r="D14" s="459"/>
      <c r="E14" s="312"/>
      <c r="G14" s="82">
        <f t="shared" si="1"/>
        <v>0</v>
      </c>
      <c r="H14" s="82"/>
      <c r="I14" s="176">
        <v>12</v>
      </c>
      <c r="J14" s="322"/>
      <c r="K14" s="312"/>
      <c r="L14" s="402"/>
      <c r="M14" s="403"/>
      <c r="N14" s="414">
        <f t="shared" si="0"/>
        <v>0</v>
      </c>
      <c r="O14" s="171"/>
      <c r="P14" s="18"/>
      <c r="Q14" s="172"/>
      <c r="R14" s="82"/>
    </row>
    <row r="15" spans="1:18" x14ac:dyDescent="0.2">
      <c r="A15" s="88">
        <v>13</v>
      </c>
      <c r="B15" s="17" t="s">
        <v>371</v>
      </c>
      <c r="C15" s="459"/>
      <c r="D15" s="459"/>
      <c r="E15" s="312"/>
      <c r="F15" s="18"/>
      <c r="G15" s="82">
        <f t="shared" si="1"/>
        <v>0</v>
      </c>
      <c r="H15" s="82"/>
      <c r="I15" s="179">
        <v>13</v>
      </c>
      <c r="J15" s="322"/>
      <c r="K15" s="312"/>
      <c r="L15" s="402"/>
      <c r="M15" s="403"/>
      <c r="N15" s="415">
        <f t="shared" si="0"/>
        <v>0</v>
      </c>
      <c r="O15" s="171"/>
      <c r="P15" s="18"/>
      <c r="Q15" s="172"/>
      <c r="R15" s="82"/>
    </row>
    <row r="16" spans="1:18" x14ac:dyDescent="0.2">
      <c r="A16" s="88">
        <v>14</v>
      </c>
      <c r="B16" s="150" t="s">
        <v>502</v>
      </c>
      <c r="C16" s="459"/>
      <c r="D16" s="459"/>
      <c r="E16" s="312"/>
      <c r="G16" s="82">
        <f t="shared" si="1"/>
        <v>0</v>
      </c>
      <c r="H16" s="82"/>
      <c r="J16" s="27" t="s">
        <v>16</v>
      </c>
      <c r="K16" s="2">
        <f>SUM(K3:K15)</f>
        <v>0</v>
      </c>
      <c r="L16" s="404">
        <f>SUM(L3:L15)</f>
        <v>0</v>
      </c>
      <c r="M16" s="405"/>
      <c r="N16" s="416">
        <f>SUM(N3:N15)</f>
        <v>0</v>
      </c>
      <c r="O16" s="171"/>
      <c r="P16" s="18"/>
      <c r="Q16" s="172"/>
      <c r="R16" s="82"/>
    </row>
    <row r="17" spans="1:18" x14ac:dyDescent="0.2">
      <c r="A17" s="88">
        <v>15</v>
      </c>
      <c r="B17" s="150" t="s">
        <v>615</v>
      </c>
      <c r="C17" s="459"/>
      <c r="D17" s="459"/>
      <c r="E17" s="312"/>
      <c r="G17" s="82">
        <f t="shared" si="1"/>
        <v>0</v>
      </c>
      <c r="H17" s="82"/>
      <c r="L17" s="404"/>
      <c r="M17" s="405"/>
      <c r="N17" s="405"/>
      <c r="O17" s="171"/>
      <c r="P17" s="18"/>
      <c r="Q17" s="172"/>
      <c r="R17" s="82"/>
    </row>
    <row r="18" spans="1:18" x14ac:dyDescent="0.2">
      <c r="A18" s="284">
        <v>16</v>
      </c>
      <c r="B18" s="150" t="s">
        <v>812</v>
      </c>
      <c r="C18" s="459"/>
      <c r="D18" s="459"/>
      <c r="E18" s="312"/>
      <c r="F18" s="18"/>
      <c r="G18" s="82">
        <f t="shared" si="1"/>
        <v>0</v>
      </c>
      <c r="H18" s="82"/>
      <c r="I18" s="177"/>
      <c r="J18" s="33" t="s">
        <v>170</v>
      </c>
      <c r="K18" s="11" t="s">
        <v>15</v>
      </c>
      <c r="L18" s="406" t="s">
        <v>22</v>
      </c>
      <c r="M18" s="407" t="s">
        <v>13</v>
      </c>
      <c r="N18" s="417" t="s">
        <v>76</v>
      </c>
      <c r="O18" s="171"/>
      <c r="P18" s="18"/>
      <c r="Q18" s="172"/>
      <c r="R18" s="82"/>
    </row>
    <row r="19" spans="1:18" x14ac:dyDescent="0.2">
      <c r="A19" s="284">
        <v>17</v>
      </c>
      <c r="B19" s="17" t="s">
        <v>813</v>
      </c>
      <c r="C19" s="459"/>
      <c r="D19" s="459"/>
      <c r="E19" s="312"/>
      <c r="G19" s="82">
        <f t="shared" si="1"/>
        <v>0</v>
      </c>
      <c r="H19" s="82"/>
      <c r="I19" s="176"/>
      <c r="J19" s="49" t="s">
        <v>18</v>
      </c>
      <c r="K19" s="22" t="s">
        <v>13</v>
      </c>
      <c r="L19" s="408" t="s">
        <v>12</v>
      </c>
      <c r="M19" s="409" t="s">
        <v>14</v>
      </c>
      <c r="N19" s="418" t="s">
        <v>13</v>
      </c>
      <c r="O19" s="171"/>
      <c r="P19" s="18"/>
      <c r="Q19" s="82"/>
      <c r="R19" s="82"/>
    </row>
    <row r="20" spans="1:18" x14ac:dyDescent="0.2">
      <c r="A20" s="284">
        <v>18</v>
      </c>
      <c r="B20" s="150" t="s">
        <v>814</v>
      </c>
      <c r="C20" s="459"/>
      <c r="D20" s="459"/>
      <c r="E20" s="312"/>
      <c r="G20" s="82">
        <f t="shared" si="1"/>
        <v>0</v>
      </c>
      <c r="H20" s="82"/>
      <c r="I20" s="176">
        <v>1</v>
      </c>
      <c r="J20" s="322"/>
      <c r="K20" s="312"/>
      <c r="L20" s="402"/>
      <c r="M20" s="403"/>
      <c r="N20" s="414">
        <f t="shared" ref="N20:N27" si="2">L20*M20</f>
        <v>0</v>
      </c>
      <c r="O20" s="171"/>
      <c r="P20" s="18"/>
      <c r="Q20" s="82"/>
      <c r="R20" s="82"/>
    </row>
    <row r="21" spans="1:18" x14ac:dyDescent="0.2">
      <c r="A21" s="88">
        <v>19</v>
      </c>
      <c r="B21" s="150" t="s">
        <v>620</v>
      </c>
      <c r="C21" s="459"/>
      <c r="D21" s="459"/>
      <c r="E21" s="312"/>
      <c r="G21" s="82">
        <f t="shared" si="1"/>
        <v>0</v>
      </c>
      <c r="H21" s="18"/>
      <c r="I21" s="176">
        <v>2</v>
      </c>
      <c r="J21" s="323"/>
      <c r="K21" s="312"/>
      <c r="L21" s="402"/>
      <c r="M21" s="403"/>
      <c r="N21" s="414">
        <f t="shared" si="2"/>
        <v>0</v>
      </c>
      <c r="O21" s="171"/>
      <c r="P21" s="18"/>
      <c r="Q21" s="82"/>
      <c r="R21" s="82"/>
    </row>
    <row r="22" spans="1:18" x14ac:dyDescent="0.2">
      <c r="A22" s="88">
        <v>20</v>
      </c>
      <c r="B22" s="150" t="s">
        <v>815</v>
      </c>
      <c r="C22" s="459"/>
      <c r="D22" s="459"/>
      <c r="E22" s="312"/>
      <c r="G22" s="82">
        <f t="shared" si="1"/>
        <v>0</v>
      </c>
      <c r="H22" s="82"/>
      <c r="I22" s="176">
        <v>3</v>
      </c>
      <c r="J22" s="323"/>
      <c r="K22" s="312"/>
      <c r="L22" s="402"/>
      <c r="M22" s="403"/>
      <c r="N22" s="414">
        <f t="shared" si="2"/>
        <v>0</v>
      </c>
      <c r="O22" s="171"/>
      <c r="P22" s="18"/>
      <c r="Q22" s="82"/>
      <c r="R22" s="82"/>
    </row>
    <row r="23" spans="1:18" x14ac:dyDescent="0.2">
      <c r="A23" s="88">
        <v>21</v>
      </c>
      <c r="B23" s="150" t="s">
        <v>816</v>
      </c>
      <c r="C23" s="459"/>
      <c r="D23" s="459"/>
      <c r="E23" s="312"/>
      <c r="G23" s="82">
        <f t="shared" si="1"/>
        <v>0</v>
      </c>
      <c r="H23" s="82"/>
      <c r="I23" s="176">
        <v>4</v>
      </c>
      <c r="J23" s="323"/>
      <c r="K23" s="312"/>
      <c r="L23" s="402"/>
      <c r="M23" s="403"/>
      <c r="N23" s="414">
        <f t="shared" si="2"/>
        <v>0</v>
      </c>
      <c r="O23" s="171"/>
      <c r="P23" s="18"/>
      <c r="Q23" s="82"/>
      <c r="R23" s="82"/>
    </row>
    <row r="24" spans="1:18" x14ac:dyDescent="0.2">
      <c r="A24" s="284">
        <v>22</v>
      </c>
      <c r="B24" s="150" t="s">
        <v>817</v>
      </c>
      <c r="C24" s="459"/>
      <c r="D24" s="459"/>
      <c r="E24" s="312"/>
      <c r="G24" s="82">
        <f t="shared" si="1"/>
        <v>0</v>
      </c>
      <c r="H24" s="82"/>
      <c r="I24" s="176">
        <v>5</v>
      </c>
      <c r="J24" s="323"/>
      <c r="K24" s="312"/>
      <c r="L24" s="402"/>
      <c r="M24" s="403"/>
      <c r="N24" s="414">
        <f t="shared" si="2"/>
        <v>0</v>
      </c>
      <c r="O24" s="171"/>
      <c r="P24" s="18"/>
      <c r="Q24" s="171"/>
      <c r="R24" s="18"/>
    </row>
    <row r="25" spans="1:18" x14ac:dyDescent="0.2">
      <c r="A25" s="88">
        <v>23</v>
      </c>
      <c r="B25" s="150" t="s">
        <v>646</v>
      </c>
      <c r="C25" s="459"/>
      <c r="D25" s="459"/>
      <c r="E25" s="312"/>
      <c r="G25" s="82">
        <f t="shared" si="1"/>
        <v>0</v>
      </c>
      <c r="H25" s="82"/>
      <c r="I25" s="176">
        <v>6</v>
      </c>
      <c r="J25" s="323"/>
      <c r="K25" s="312"/>
      <c r="L25" s="402"/>
      <c r="M25" s="403"/>
      <c r="N25" s="414">
        <f t="shared" si="2"/>
        <v>0</v>
      </c>
      <c r="O25" s="82"/>
      <c r="P25" s="18"/>
      <c r="Q25" s="30"/>
      <c r="R25" s="18"/>
    </row>
    <row r="26" spans="1:18" x14ac:dyDescent="0.2">
      <c r="A26" s="88">
        <v>24</v>
      </c>
      <c r="B26" s="45" t="s">
        <v>251</v>
      </c>
      <c r="C26" s="459"/>
      <c r="D26" s="459"/>
      <c r="E26" s="312"/>
      <c r="F26" s="82">
        <f t="shared" ref="F26:F34" si="3">K36</f>
        <v>0</v>
      </c>
      <c r="G26" s="82">
        <f t="shared" si="1"/>
        <v>0</v>
      </c>
      <c r="H26" s="82"/>
      <c r="I26" s="176">
        <v>7</v>
      </c>
      <c r="J26" s="323"/>
      <c r="K26" s="312"/>
      <c r="L26" s="402"/>
      <c r="M26" s="403"/>
      <c r="N26" s="414">
        <f t="shared" si="2"/>
        <v>0</v>
      </c>
      <c r="O26" s="18"/>
      <c r="P26" s="18"/>
      <c r="Q26" s="30"/>
      <c r="R26" s="18"/>
    </row>
    <row r="27" spans="1:18" x14ac:dyDescent="0.2">
      <c r="A27" s="88">
        <v>25</v>
      </c>
      <c r="B27" s="50" t="s">
        <v>252</v>
      </c>
      <c r="C27" s="459"/>
      <c r="D27" s="459"/>
      <c r="E27" s="312"/>
      <c r="F27" s="82">
        <f t="shared" si="3"/>
        <v>0</v>
      </c>
      <c r="G27" s="82">
        <f t="shared" si="1"/>
        <v>0</v>
      </c>
      <c r="H27" s="82"/>
      <c r="I27" s="179">
        <v>8</v>
      </c>
      <c r="J27" s="323"/>
      <c r="K27" s="312"/>
      <c r="L27" s="402"/>
      <c r="M27" s="403"/>
      <c r="N27" s="415">
        <f t="shared" si="2"/>
        <v>0</v>
      </c>
      <c r="O27" s="18"/>
      <c r="P27" s="18"/>
      <c r="Q27" s="30"/>
      <c r="R27" s="18"/>
    </row>
    <row r="28" spans="1:18" x14ac:dyDescent="0.2">
      <c r="A28" s="88">
        <v>26</v>
      </c>
      <c r="B28" s="50" t="s">
        <v>253</v>
      </c>
      <c r="C28" s="459"/>
      <c r="D28" s="459"/>
      <c r="E28" s="312"/>
      <c r="F28" s="82">
        <f t="shared" si="3"/>
        <v>0</v>
      </c>
      <c r="G28" s="82">
        <f t="shared" si="1"/>
        <v>0</v>
      </c>
      <c r="H28" s="82"/>
      <c r="J28" s="48" t="s">
        <v>20</v>
      </c>
      <c r="K28" s="3">
        <f>SUM(K20:K27)</f>
        <v>0</v>
      </c>
      <c r="L28" s="404">
        <f>SUM(L20:L27)</f>
        <v>0</v>
      </c>
      <c r="M28" s="405"/>
      <c r="N28" s="419">
        <f>SUM(N20:N27)</f>
        <v>0</v>
      </c>
      <c r="O28" s="18"/>
      <c r="P28" s="18"/>
      <c r="Q28" s="30"/>
      <c r="R28" s="18"/>
    </row>
    <row r="29" spans="1:18" x14ac:dyDescent="0.2">
      <c r="A29" s="88">
        <v>27</v>
      </c>
      <c r="B29" s="50" t="s">
        <v>254</v>
      </c>
      <c r="C29" s="459"/>
      <c r="D29" s="459"/>
      <c r="E29" s="312"/>
      <c r="F29" s="82">
        <f t="shared" si="3"/>
        <v>0</v>
      </c>
      <c r="G29" s="82">
        <f t="shared" si="1"/>
        <v>0</v>
      </c>
      <c r="H29" s="82"/>
      <c r="L29" s="404"/>
      <c r="M29" s="405"/>
      <c r="N29" s="405"/>
      <c r="O29" s="18"/>
      <c r="P29" s="18"/>
      <c r="Q29" s="30"/>
      <c r="R29" s="18"/>
    </row>
    <row r="30" spans="1:18" x14ac:dyDescent="0.2">
      <c r="A30" s="88">
        <v>28</v>
      </c>
      <c r="B30" s="45" t="s">
        <v>343</v>
      </c>
      <c r="C30" s="459"/>
      <c r="D30" s="459"/>
      <c r="E30" s="312"/>
      <c r="F30" s="82">
        <f t="shared" si="3"/>
        <v>0</v>
      </c>
      <c r="G30" s="82">
        <f t="shared" si="1"/>
        <v>0</v>
      </c>
      <c r="H30" s="82"/>
      <c r="J30" s="173" t="s">
        <v>19</v>
      </c>
      <c r="K30" s="311">
        <v>0</v>
      </c>
      <c r="L30" s="402"/>
      <c r="M30" s="403"/>
      <c r="N30" s="420">
        <f>L30*M30</f>
        <v>0</v>
      </c>
      <c r="O30" s="18"/>
      <c r="P30" s="18"/>
      <c r="Q30" s="30"/>
      <c r="R30" s="18"/>
    </row>
    <row r="31" spans="1:18" x14ac:dyDescent="0.2">
      <c r="A31" s="88">
        <v>29</v>
      </c>
      <c r="B31" s="158" t="s">
        <v>344</v>
      </c>
      <c r="C31" s="459"/>
      <c r="D31" s="459"/>
      <c r="E31" s="312"/>
      <c r="F31" s="82">
        <f t="shared" si="3"/>
        <v>0</v>
      </c>
      <c r="G31" s="82">
        <f t="shared" si="1"/>
        <v>0</v>
      </c>
      <c r="H31" s="14"/>
      <c r="L31" s="404"/>
      <c r="M31" s="405"/>
      <c r="N31" s="405"/>
      <c r="O31" s="18"/>
      <c r="P31" s="18"/>
      <c r="Q31" s="30"/>
      <c r="R31" s="18"/>
    </row>
    <row r="32" spans="1:18" x14ac:dyDescent="0.2">
      <c r="A32" s="284">
        <v>30</v>
      </c>
      <c r="B32" s="158" t="str">
        <f>'Prdtn &amp; Acres'!B37</f>
        <v>Oats,Buckwheat,Rye</v>
      </c>
      <c r="C32" s="459"/>
      <c r="D32" s="459"/>
      <c r="E32" s="312"/>
      <c r="F32" s="82">
        <f t="shared" si="3"/>
        <v>0</v>
      </c>
      <c r="G32" s="82">
        <f t="shared" si="1"/>
        <v>0</v>
      </c>
      <c r="J32" s="71" t="s">
        <v>833</v>
      </c>
      <c r="K32" s="311"/>
      <c r="L32" s="402"/>
      <c r="M32" s="403"/>
      <c r="N32" s="420">
        <f>L32*M32</f>
        <v>0</v>
      </c>
      <c r="O32" s="18"/>
      <c r="P32" s="18"/>
      <c r="Q32" s="30"/>
      <c r="R32" s="18"/>
    </row>
    <row r="33" spans="1:18" x14ac:dyDescent="0.2">
      <c r="A33" s="285">
        <v>31</v>
      </c>
      <c r="B33" s="158" t="str">
        <f>'Prdtn &amp; Acres'!B38</f>
        <v>Peas</v>
      </c>
      <c r="C33" s="459"/>
      <c r="D33" s="459"/>
      <c r="E33" s="312"/>
      <c r="F33" s="82">
        <f t="shared" si="3"/>
        <v>0</v>
      </c>
      <c r="G33" s="82">
        <f t="shared" si="1"/>
        <v>0</v>
      </c>
      <c r="H33" s="18"/>
      <c r="K33" s="127"/>
      <c r="L33" s="410"/>
      <c r="M33" s="411"/>
      <c r="N33" s="405"/>
      <c r="O33" s="18"/>
      <c r="P33" s="18"/>
      <c r="Q33" s="30"/>
      <c r="R33" s="18"/>
    </row>
    <row r="34" spans="1:18" x14ac:dyDescent="0.2">
      <c r="A34" s="68">
        <v>32</v>
      </c>
      <c r="B34" s="158" t="str">
        <f>'Prdtn &amp; Acres'!B39</f>
        <v>Clover hay + seed</v>
      </c>
      <c r="C34" s="459"/>
      <c r="D34" s="459"/>
      <c r="E34" s="312"/>
      <c r="F34" s="82">
        <f t="shared" si="3"/>
        <v>0</v>
      </c>
      <c r="G34" s="82">
        <f t="shared" si="1"/>
        <v>0</v>
      </c>
      <c r="H34" s="18"/>
      <c r="I34" s="176"/>
      <c r="J34" s="42"/>
      <c r="K34" s="180" t="s">
        <v>15</v>
      </c>
      <c r="L34" s="406"/>
      <c r="M34" s="407" t="s">
        <v>13</v>
      </c>
      <c r="N34" s="407" t="s">
        <v>76</v>
      </c>
      <c r="O34" s="18"/>
      <c r="P34" s="18"/>
      <c r="Q34" s="30"/>
      <c r="R34" s="18"/>
    </row>
    <row r="35" spans="1:18" x14ac:dyDescent="0.2">
      <c r="A35" s="68">
        <v>33</v>
      </c>
      <c r="B35" s="150" t="s">
        <v>575</v>
      </c>
      <c r="C35" s="459"/>
      <c r="D35" s="459"/>
      <c r="E35" s="312"/>
      <c r="F35" s="306"/>
      <c r="G35" s="82">
        <f t="shared" si="1"/>
        <v>0</v>
      </c>
      <c r="H35" s="40"/>
      <c r="I35" s="176"/>
      <c r="J35" s="46" t="s">
        <v>70</v>
      </c>
      <c r="K35" s="181" t="s">
        <v>13</v>
      </c>
      <c r="L35" s="408" t="s">
        <v>77</v>
      </c>
      <c r="M35" s="409" t="s">
        <v>78</v>
      </c>
      <c r="N35" s="409" t="s">
        <v>13</v>
      </c>
      <c r="O35" s="18"/>
      <c r="P35" s="18"/>
      <c r="Q35" s="30"/>
      <c r="R35" s="18"/>
    </row>
    <row r="36" spans="1:18" x14ac:dyDescent="0.2">
      <c r="A36" s="68">
        <v>34</v>
      </c>
      <c r="B36" s="18" t="s">
        <v>11</v>
      </c>
      <c r="C36" s="459"/>
      <c r="D36" s="459"/>
      <c r="E36" s="459"/>
      <c r="F36" s="18"/>
      <c r="G36" s="82">
        <f t="shared" si="1"/>
        <v>0</v>
      </c>
      <c r="H36" s="40"/>
      <c r="I36" s="176" t="s">
        <v>374</v>
      </c>
      <c r="J36" s="358" t="s">
        <v>251</v>
      </c>
      <c r="K36" s="312"/>
      <c r="L36" s="402"/>
      <c r="M36" s="458"/>
      <c r="N36" s="414">
        <f t="shared" ref="N36:N44" si="4">L36*M36</f>
        <v>0</v>
      </c>
      <c r="O36" s="18"/>
      <c r="P36" s="18"/>
      <c r="Q36" s="30"/>
      <c r="R36" s="18"/>
    </row>
    <row r="37" spans="1:18" x14ac:dyDescent="0.2">
      <c r="A37" s="68">
        <v>35</v>
      </c>
      <c r="B37" s="17" t="s">
        <v>335</v>
      </c>
      <c r="C37" s="459"/>
      <c r="D37" s="459"/>
      <c r="E37" s="459"/>
      <c r="F37" s="18"/>
      <c r="G37" s="82">
        <f t="shared" si="1"/>
        <v>0</v>
      </c>
      <c r="H37" s="40"/>
      <c r="I37" s="176" t="s">
        <v>375</v>
      </c>
      <c r="J37" s="183" t="s">
        <v>252</v>
      </c>
      <c r="K37" s="312"/>
      <c r="L37" s="402"/>
      <c r="M37" s="458"/>
      <c r="N37" s="414">
        <f t="shared" si="4"/>
        <v>0</v>
      </c>
      <c r="O37" s="18"/>
      <c r="P37" s="18"/>
      <c r="Q37" s="30"/>
      <c r="R37" s="18"/>
    </row>
    <row r="38" spans="1:18" x14ac:dyDescent="0.2">
      <c r="A38" s="68">
        <v>36</v>
      </c>
      <c r="B38" s="17" t="s">
        <v>366</v>
      </c>
      <c r="C38" s="459"/>
      <c r="D38" s="459"/>
      <c r="E38" s="459"/>
      <c r="F38" s="18"/>
      <c r="G38" s="82">
        <f t="shared" si="1"/>
        <v>0</v>
      </c>
      <c r="H38" s="40"/>
      <c r="I38" s="178" t="s">
        <v>376</v>
      </c>
      <c r="J38" s="183" t="s">
        <v>253</v>
      </c>
      <c r="K38" s="312"/>
      <c r="L38" s="402"/>
      <c r="M38" s="458"/>
      <c r="N38" s="414">
        <f t="shared" si="4"/>
        <v>0</v>
      </c>
      <c r="O38" s="18"/>
      <c r="P38" s="18"/>
      <c r="Q38" s="30"/>
      <c r="R38" s="18"/>
    </row>
    <row r="39" spans="1:18" x14ac:dyDescent="0.2">
      <c r="A39" s="68">
        <v>37</v>
      </c>
      <c r="B39" s="17" t="s">
        <v>367</v>
      </c>
      <c r="C39" s="459"/>
      <c r="D39" s="459"/>
      <c r="E39" s="312"/>
      <c r="F39" s="18"/>
      <c r="G39" s="82">
        <f t="shared" si="1"/>
        <v>0</v>
      </c>
      <c r="H39" s="40"/>
      <c r="I39" s="176" t="s">
        <v>377</v>
      </c>
      <c r="J39" s="183" t="s">
        <v>254</v>
      </c>
      <c r="K39" s="312"/>
      <c r="L39" s="402"/>
      <c r="M39" s="458"/>
      <c r="N39" s="414">
        <f t="shared" si="4"/>
        <v>0</v>
      </c>
      <c r="O39" s="18"/>
      <c r="P39" s="18"/>
      <c r="Q39" s="18"/>
      <c r="R39" s="18"/>
    </row>
    <row r="40" spans="1:18" x14ac:dyDescent="0.2">
      <c r="A40" s="68">
        <v>38</v>
      </c>
      <c r="B40" s="17" t="s">
        <v>7</v>
      </c>
      <c r="C40" s="459"/>
      <c r="D40" s="459"/>
      <c r="E40" s="312"/>
      <c r="F40" s="18"/>
      <c r="G40" s="82">
        <f t="shared" si="1"/>
        <v>0</v>
      </c>
      <c r="H40" s="40"/>
      <c r="I40" s="176" t="s">
        <v>378</v>
      </c>
      <c r="J40" s="358" t="s">
        <v>343</v>
      </c>
      <c r="K40" s="312"/>
      <c r="L40" s="402"/>
      <c r="M40" s="458"/>
      <c r="N40" s="414">
        <f t="shared" si="4"/>
        <v>0</v>
      </c>
      <c r="O40" s="18"/>
      <c r="P40" s="18"/>
      <c r="Q40" s="30"/>
      <c r="R40" s="18"/>
    </row>
    <row r="41" spans="1:18" x14ac:dyDescent="0.2">
      <c r="A41" s="68">
        <v>39</v>
      </c>
      <c r="B41" s="17" t="s">
        <v>831</v>
      </c>
      <c r="C41" s="459"/>
      <c r="D41" s="459"/>
      <c r="E41" s="312"/>
      <c r="F41" s="18"/>
      <c r="G41" s="82">
        <f t="shared" si="1"/>
        <v>0</v>
      </c>
      <c r="H41" s="40"/>
      <c r="I41" s="176" t="s">
        <v>379</v>
      </c>
      <c r="J41" s="183" t="s">
        <v>344</v>
      </c>
      <c r="K41" s="312"/>
      <c r="L41" s="402"/>
      <c r="M41" s="458"/>
      <c r="N41" s="414">
        <f t="shared" si="4"/>
        <v>0</v>
      </c>
      <c r="O41" s="18"/>
      <c r="P41" s="18"/>
      <c r="Q41" s="30"/>
      <c r="R41" s="18"/>
    </row>
    <row r="42" spans="1:18" x14ac:dyDescent="0.2">
      <c r="A42" s="68">
        <v>40</v>
      </c>
      <c r="B42" s="17" t="s">
        <v>547</v>
      </c>
      <c r="C42" s="459"/>
      <c r="D42" s="459"/>
      <c r="E42" s="312"/>
      <c r="F42" s="312"/>
      <c r="G42" s="82">
        <f t="shared" si="1"/>
        <v>0</v>
      </c>
      <c r="H42" s="40"/>
      <c r="I42" s="176" t="s">
        <v>380</v>
      </c>
      <c r="J42" s="359" t="str">
        <f>'Prdtn &amp; Acres'!B37</f>
        <v>Oats,Buckwheat,Rye</v>
      </c>
      <c r="K42" s="312"/>
      <c r="L42" s="402"/>
      <c r="M42" s="458"/>
      <c r="N42" s="414">
        <f t="shared" si="4"/>
        <v>0</v>
      </c>
      <c r="O42" s="18"/>
      <c r="P42" s="18"/>
      <c r="Q42" s="30"/>
      <c r="R42" s="18"/>
    </row>
    <row r="43" spans="1:18" x14ac:dyDescent="0.2">
      <c r="A43" s="68">
        <v>41</v>
      </c>
      <c r="B43" s="17" t="s">
        <v>245</v>
      </c>
      <c r="C43" s="459"/>
      <c r="D43" s="459"/>
      <c r="E43" s="312"/>
      <c r="F43" s="308"/>
      <c r="G43" s="82">
        <f t="shared" si="1"/>
        <v>0</v>
      </c>
      <c r="H43" s="40"/>
      <c r="I43" s="177" t="s">
        <v>381</v>
      </c>
      <c r="J43" s="360" t="str">
        <f>'Prdtn &amp; Acres'!B38</f>
        <v>Peas</v>
      </c>
      <c r="K43" s="312"/>
      <c r="L43" s="402"/>
      <c r="M43" s="458"/>
      <c r="N43" s="414">
        <f t="shared" si="4"/>
        <v>0</v>
      </c>
      <c r="O43" s="18"/>
      <c r="P43" s="18"/>
      <c r="Q43" s="30"/>
      <c r="R43" s="82"/>
    </row>
    <row r="44" spans="1:18" x14ac:dyDescent="0.2">
      <c r="A44" s="68">
        <v>42</v>
      </c>
      <c r="B44" s="150" t="s">
        <v>783</v>
      </c>
      <c r="C44" s="459"/>
      <c r="D44" s="459"/>
      <c r="E44" s="312"/>
      <c r="G44" s="82">
        <f t="shared" si="1"/>
        <v>0</v>
      </c>
      <c r="H44" s="40"/>
      <c r="I44" s="177" t="s">
        <v>546</v>
      </c>
      <c r="J44" s="361" t="str">
        <f>'Prdtn &amp; Acres'!B39</f>
        <v>Clover hay + seed</v>
      </c>
      <c r="K44" s="312"/>
      <c r="L44" s="402"/>
      <c r="M44" s="458"/>
      <c r="N44" s="415">
        <f t="shared" si="4"/>
        <v>0</v>
      </c>
      <c r="O44" s="18"/>
      <c r="P44" s="18"/>
      <c r="Q44" s="82"/>
      <c r="R44" s="18"/>
    </row>
    <row r="45" spans="1:18" x14ac:dyDescent="0.2">
      <c r="A45" s="88">
        <v>43</v>
      </c>
      <c r="B45" s="17" t="s">
        <v>372</v>
      </c>
      <c r="C45" s="459"/>
      <c r="D45" s="459"/>
      <c r="E45" s="312"/>
      <c r="F45" s="308"/>
      <c r="G45" s="82">
        <f t="shared" si="1"/>
        <v>0</v>
      </c>
      <c r="H45" s="40"/>
      <c r="I45" s="176" t="s">
        <v>381</v>
      </c>
      <c r="J45" s="56" t="s">
        <v>119</v>
      </c>
      <c r="K45" s="57">
        <f>SUM(K36:K44)</f>
        <v>0</v>
      </c>
      <c r="L45" s="412">
        <f>SUM(L36:L44)</f>
        <v>0</v>
      </c>
      <c r="M45" s="413"/>
      <c r="N45" s="421">
        <f>SUM(N36:N44)</f>
        <v>0</v>
      </c>
      <c r="O45" s="18"/>
      <c r="P45" s="18"/>
      <c r="Q45" s="82"/>
      <c r="R45" s="18"/>
    </row>
    <row r="46" spans="1:18" x14ac:dyDescent="0.2">
      <c r="B46" s="17" t="s">
        <v>69</v>
      </c>
      <c r="C46" s="14">
        <f>SUM(C6:C45)</f>
        <v>0</v>
      </c>
      <c r="D46" s="125">
        <f>SUM(D6:D45)</f>
        <v>0</v>
      </c>
      <c r="E46" s="14">
        <f>SUM(E6:E45)</f>
        <v>0</v>
      </c>
      <c r="F46" s="14">
        <f>SUM(F6:F45)</f>
        <v>0</v>
      </c>
      <c r="G46" s="14">
        <f>SUM(G6:G45)</f>
        <v>0</v>
      </c>
      <c r="H46" s="82"/>
      <c r="O46" s="18"/>
      <c r="P46" s="18"/>
      <c r="Q46" s="82"/>
      <c r="R46" s="18"/>
    </row>
    <row r="47" spans="1:18" x14ac:dyDescent="0.2">
      <c r="B47" s="390">
        <f>Assets!C88+Assets!C90</f>
        <v>0</v>
      </c>
      <c r="C47" s="475" t="s">
        <v>819</v>
      </c>
      <c r="D47" s="476">
        <f>SUM(C46:D46)</f>
        <v>0</v>
      </c>
      <c r="E47" s="28"/>
      <c r="F47" s="446" t="s">
        <v>799</v>
      </c>
      <c r="G47" s="461">
        <f>G46-D47</f>
        <v>0</v>
      </c>
      <c r="H47" s="82"/>
      <c r="J47" s="18"/>
      <c r="L47" s="17"/>
      <c r="M47" s="18"/>
      <c r="N47" s="18"/>
      <c r="O47" s="18"/>
      <c r="P47" s="18"/>
      <c r="Q47" s="18"/>
      <c r="R47" s="18"/>
    </row>
    <row r="48" spans="1:18" x14ac:dyDescent="0.2">
      <c r="D48" s="460">
        <f>D47-B47</f>
        <v>0</v>
      </c>
      <c r="H48" s="82"/>
      <c r="J48" s="18"/>
      <c r="L48" s="17"/>
      <c r="M48" s="18"/>
      <c r="N48" s="18"/>
      <c r="O48" s="18"/>
      <c r="P48" s="18"/>
      <c r="Q48" s="18"/>
      <c r="R48" s="18"/>
    </row>
    <row r="49" spans="8:18" x14ac:dyDescent="0.2">
      <c r="H49" s="82"/>
      <c r="J49" s="18"/>
      <c r="L49" s="17"/>
      <c r="M49" s="18"/>
      <c r="N49" s="18"/>
      <c r="O49" s="18"/>
      <c r="P49" s="18"/>
      <c r="Q49" s="18"/>
      <c r="R49" s="18"/>
    </row>
    <row r="50" spans="8:18" x14ac:dyDescent="0.2">
      <c r="H50" s="82"/>
      <c r="J50" s="18"/>
      <c r="L50" s="17"/>
      <c r="M50" s="18"/>
      <c r="N50" s="18"/>
      <c r="O50" s="18"/>
      <c r="P50" s="18"/>
      <c r="Q50" s="18"/>
      <c r="R50" s="18"/>
    </row>
    <row r="51" spans="8:18" x14ac:dyDescent="0.2">
      <c r="H51" s="18"/>
      <c r="L51" s="17"/>
      <c r="M51" s="82"/>
      <c r="N51" s="18"/>
      <c r="O51" s="18"/>
      <c r="P51" s="18"/>
      <c r="Q51" s="18"/>
      <c r="R51" s="18"/>
    </row>
    <row r="52" spans="8:18" x14ac:dyDescent="0.2">
      <c r="H52" s="14"/>
      <c r="I52" s="3"/>
      <c r="L52" s="88"/>
      <c r="M52" s="82"/>
      <c r="N52" s="18"/>
      <c r="O52" s="18"/>
      <c r="P52" s="18"/>
      <c r="Q52" s="18"/>
      <c r="R52" s="18"/>
    </row>
    <row r="53" spans="8:18" x14ac:dyDescent="0.2">
      <c r="I53" s="3"/>
      <c r="L53" s="88"/>
      <c r="M53" s="82"/>
      <c r="N53" s="18"/>
      <c r="O53" s="18"/>
      <c r="P53" s="18"/>
      <c r="Q53" s="18"/>
      <c r="R53" s="18"/>
    </row>
    <row r="54" spans="8:18" x14ac:dyDescent="0.2">
      <c r="I54" s="3"/>
      <c r="L54" s="17"/>
      <c r="M54" s="18"/>
      <c r="N54" s="18"/>
      <c r="O54" s="18"/>
      <c r="P54" s="18"/>
      <c r="Q54" s="18"/>
      <c r="R54" s="18"/>
    </row>
    <row r="55" spans="8:18" x14ac:dyDescent="0.2">
      <c r="O55" s="18"/>
      <c r="P55" s="18"/>
      <c r="Q55" s="18"/>
      <c r="R55" s="18"/>
    </row>
    <row r="56" spans="8:18" x14ac:dyDescent="0.2">
      <c r="O56" s="18"/>
      <c r="P56" s="18"/>
      <c r="Q56" s="18"/>
      <c r="R56" s="18"/>
    </row>
    <row r="67" spans="17:17" x14ac:dyDescent="0.2">
      <c r="Q67" s="7"/>
    </row>
    <row r="99" spans="2:12" x14ac:dyDescent="0.2">
      <c r="H99" s="18"/>
      <c r="I99" s="18"/>
      <c r="J99" s="18"/>
      <c r="L99" s="4"/>
    </row>
    <row r="100" spans="2:12" x14ac:dyDescent="0.2">
      <c r="L100" s="4"/>
    </row>
    <row r="101" spans="2:12" x14ac:dyDescent="0.2">
      <c r="L101" s="4"/>
    </row>
    <row r="102" spans="2:12" x14ac:dyDescent="0.2">
      <c r="B102" s="4"/>
      <c r="C102" s="4"/>
      <c r="D102" s="4"/>
      <c r="E102" s="2"/>
      <c r="L102" s="4"/>
    </row>
    <row r="103" spans="2:12" x14ac:dyDescent="0.2">
      <c r="L103" s="4"/>
    </row>
    <row r="104" spans="2:12" x14ac:dyDescent="0.2">
      <c r="L104" s="4"/>
    </row>
    <row r="105" spans="2:12" x14ac:dyDescent="0.2">
      <c r="L105" s="4"/>
    </row>
    <row r="106" spans="2:12" x14ac:dyDescent="0.2">
      <c r="L106" s="4"/>
    </row>
    <row r="107" spans="2:12" x14ac:dyDescent="0.2">
      <c r="L107" s="4"/>
    </row>
    <row r="108" spans="2:12" x14ac:dyDescent="0.2">
      <c r="L108" s="4"/>
    </row>
    <row r="109" spans="2:12" x14ac:dyDescent="0.2">
      <c r="L109" s="4"/>
    </row>
    <row r="110" spans="2:12" x14ac:dyDescent="0.2">
      <c r="L110" s="4"/>
    </row>
    <row r="111" spans="2:12" x14ac:dyDescent="0.2">
      <c r="L111" s="4"/>
    </row>
    <row r="112" spans="2:12" x14ac:dyDescent="0.2">
      <c r="L112" s="4"/>
    </row>
    <row r="113" spans="12:12" x14ac:dyDescent="0.2">
      <c r="L113" s="4"/>
    </row>
  </sheetData>
  <sheetProtection password="E239" sheet="1" objects="1" scenarios="1"/>
  <phoneticPr fontId="0" type="noConversion"/>
  <printOptions horizontalCentered="1" verticalCentered="1" gridLines="1"/>
  <pageMargins left="0.5" right="0.5" top="0.25" bottom="0.25" header="0" footer="0"/>
  <pageSetup scale="95" orientation="landscape" blackAndWhite="1" horizontalDpi="4294967294" verticalDpi="300" r:id="rId1"/>
  <headerFooter alignWithMargins="0">
    <oddHeader>&amp;LPage No:   &amp;N:&amp;P&amp;C
&amp;RFFBS 2001: INPUT FORM</oddHeader>
    <oddFooter>&amp;R&amp;F  &amp;A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" zoomScaleNormal="75" workbookViewId="0">
      <pane ySplit="1050" topLeftCell="A5" activePane="bottomLeft"/>
      <selection activeCell="N3" sqref="N3"/>
      <selection pane="bottomLeft" activeCell="A21" sqref="A21"/>
    </sheetView>
  </sheetViews>
  <sheetFormatPr defaultRowHeight="12.75" x14ac:dyDescent="0.2"/>
  <cols>
    <col min="1" max="1" width="31.42578125" customWidth="1"/>
    <col min="2" max="2" width="11.28515625" customWidth="1"/>
    <col min="3" max="3" width="11.7109375" customWidth="1"/>
    <col min="4" max="4" width="11.140625" customWidth="1"/>
    <col min="5" max="5" width="7.5703125" customWidth="1"/>
    <col min="6" max="6" width="9.7109375" customWidth="1"/>
    <col min="7" max="7" width="5.42578125" customWidth="1"/>
    <col min="8" max="8" width="6.85546875" customWidth="1"/>
    <col min="9" max="9" width="8" customWidth="1"/>
    <col min="10" max="10" width="10" customWidth="1"/>
    <col min="11" max="11" width="10.28515625" customWidth="1"/>
    <col min="12" max="12" width="11" customWidth="1"/>
    <col min="14" max="14" width="45.7109375" customWidth="1"/>
  </cols>
  <sheetData>
    <row r="1" spans="1:14" x14ac:dyDescent="0.2">
      <c r="A1" s="61"/>
      <c r="G1" s="804" t="s">
        <v>550</v>
      </c>
      <c r="H1" s="805"/>
      <c r="I1" s="806"/>
      <c r="K1" t="s">
        <v>795</v>
      </c>
    </row>
    <row r="2" spans="1:14" x14ac:dyDescent="0.2">
      <c r="A2" s="167" t="str">
        <f>'Farm Info'!C5</f>
        <v>2014</v>
      </c>
      <c r="B2" s="24"/>
      <c r="C2" s="24"/>
      <c r="D2" s="24"/>
      <c r="E2" s="24"/>
      <c r="F2" s="228" t="s">
        <v>42</v>
      </c>
      <c r="G2" s="32"/>
      <c r="H2" s="38" t="s">
        <v>303</v>
      </c>
      <c r="I2" s="228" t="s">
        <v>306</v>
      </c>
      <c r="J2" s="812" t="s">
        <v>309</v>
      </c>
      <c r="K2" s="813"/>
      <c r="L2" s="814"/>
    </row>
    <row r="3" spans="1:14" x14ac:dyDescent="0.2">
      <c r="A3" s="34" t="s">
        <v>475</v>
      </c>
      <c r="B3" s="337">
        <f>'Farm Info'!C19</f>
        <v>41640</v>
      </c>
      <c r="C3" s="337">
        <f>B3+364</f>
        <v>42004</v>
      </c>
      <c r="D3" s="167" t="s">
        <v>172</v>
      </c>
      <c r="E3" s="167" t="s">
        <v>506</v>
      </c>
      <c r="F3" s="78" t="s">
        <v>431</v>
      </c>
      <c r="G3" s="29"/>
      <c r="H3" s="167" t="s">
        <v>304</v>
      </c>
      <c r="I3" s="78" t="s">
        <v>307</v>
      </c>
      <c r="J3" s="77" t="s">
        <v>177</v>
      </c>
      <c r="K3" s="167" t="s">
        <v>42</v>
      </c>
      <c r="L3" s="78" t="s">
        <v>179</v>
      </c>
      <c r="M3" s="328" t="s">
        <v>769</v>
      </c>
    </row>
    <row r="4" spans="1:14" x14ac:dyDescent="0.2">
      <c r="A4" s="81"/>
      <c r="B4" s="22" t="s">
        <v>123</v>
      </c>
      <c r="C4" s="22" t="s">
        <v>124</v>
      </c>
      <c r="D4" s="47" t="s">
        <v>173</v>
      </c>
      <c r="E4" s="47" t="s">
        <v>507</v>
      </c>
      <c r="F4" s="400" t="str">
        <f>'Farm Info'!C5</f>
        <v>2014</v>
      </c>
      <c r="G4" s="227" t="s">
        <v>302</v>
      </c>
      <c r="H4" s="47" t="s">
        <v>305</v>
      </c>
      <c r="I4" s="229" t="s">
        <v>308</v>
      </c>
      <c r="J4" s="227" t="s">
        <v>178</v>
      </c>
      <c r="K4" s="47" t="s">
        <v>178</v>
      </c>
      <c r="L4" s="229" t="s">
        <v>178</v>
      </c>
      <c r="M4" s="348" t="s">
        <v>770</v>
      </c>
      <c r="N4" s="132" t="s">
        <v>772</v>
      </c>
    </row>
    <row r="5" spans="1:14" ht="13.5" thickBot="1" x14ac:dyDescent="0.25">
      <c r="A5" s="555" t="s">
        <v>120</v>
      </c>
      <c r="B5" s="556"/>
      <c r="C5" s="556"/>
      <c r="D5" s="557"/>
      <c r="E5" s="557"/>
      <c r="F5" s="558"/>
      <c r="G5" s="559"/>
      <c r="H5" s="560"/>
      <c r="I5" s="561"/>
      <c r="J5" s="562"/>
      <c r="K5" s="563"/>
      <c r="L5" s="564"/>
    </row>
    <row r="6" spans="1:14" x14ac:dyDescent="0.2">
      <c r="A6" s="230" t="s">
        <v>79</v>
      </c>
      <c r="B6" s="525"/>
      <c r="C6" s="525"/>
      <c r="D6" s="82">
        <f t="shared" ref="D6:D14" si="0">C6-B6</f>
        <v>0</v>
      </c>
      <c r="E6" s="82"/>
      <c r="F6" s="526"/>
      <c r="G6" s="527"/>
      <c r="H6" s="528"/>
      <c r="I6" s="529"/>
      <c r="J6" s="530"/>
      <c r="K6" s="531"/>
      <c r="L6" s="231">
        <f t="shared" ref="L6:L13" si="1">J6+K6</f>
        <v>0</v>
      </c>
      <c r="M6" s="648"/>
      <c r="N6" s="522"/>
    </row>
    <row r="7" spans="1:14" x14ac:dyDescent="0.2">
      <c r="A7" s="131" t="s">
        <v>932</v>
      </c>
      <c r="B7" s="313"/>
      <c r="C7" s="313"/>
      <c r="D7" s="82">
        <f t="shared" si="0"/>
        <v>0</v>
      </c>
      <c r="E7" s="82"/>
      <c r="F7" s="387"/>
      <c r="G7" s="517"/>
      <c r="H7" s="518"/>
      <c r="I7" s="519"/>
      <c r="J7" s="312"/>
      <c r="K7" s="308"/>
      <c r="L7" s="231">
        <f t="shared" si="1"/>
        <v>0</v>
      </c>
      <c r="M7" s="648"/>
      <c r="N7" s="522"/>
    </row>
    <row r="8" spans="1:14" x14ac:dyDescent="0.2">
      <c r="A8" s="131" t="s">
        <v>933</v>
      </c>
      <c r="B8" s="313"/>
      <c r="C8" s="313"/>
      <c r="D8" s="82">
        <f t="shared" si="0"/>
        <v>0</v>
      </c>
      <c r="E8" s="82"/>
      <c r="F8" s="387"/>
      <c r="G8" s="517"/>
      <c r="H8" s="518"/>
      <c r="I8" s="519"/>
      <c r="J8" s="312"/>
      <c r="K8" s="308"/>
      <c r="L8" s="231">
        <f t="shared" si="1"/>
        <v>0</v>
      </c>
      <c r="M8" s="648"/>
      <c r="N8" s="522"/>
    </row>
    <row r="9" spans="1:14" ht="13.5" thickBot="1" x14ac:dyDescent="0.25">
      <c r="A9" s="554" t="s">
        <v>508</v>
      </c>
      <c r="B9" s="533"/>
      <c r="C9" s="533"/>
      <c r="D9" s="534">
        <f t="shared" si="0"/>
        <v>0</v>
      </c>
      <c r="E9" s="534"/>
      <c r="F9" s="535"/>
      <c r="G9" s="536"/>
      <c r="H9" s="537"/>
      <c r="I9" s="538"/>
      <c r="J9" s="539"/>
      <c r="K9" s="540"/>
      <c r="L9" s="541">
        <f t="shared" si="1"/>
        <v>0</v>
      </c>
      <c r="M9" s="648"/>
      <c r="N9" s="522"/>
    </row>
    <row r="10" spans="1:14" ht="13.5" thickBot="1" x14ac:dyDescent="0.25">
      <c r="A10" s="532" t="s">
        <v>707</v>
      </c>
      <c r="B10" s="547"/>
      <c r="C10" s="547"/>
      <c r="D10" s="534">
        <f t="shared" si="0"/>
        <v>0</v>
      </c>
      <c r="E10" s="534"/>
      <c r="F10" s="548"/>
      <c r="G10" s="549"/>
      <c r="H10" s="550"/>
      <c r="I10" s="551"/>
      <c r="J10" s="552"/>
      <c r="K10" s="553"/>
      <c r="L10" s="541">
        <f t="shared" si="1"/>
        <v>0</v>
      </c>
      <c r="M10" s="648"/>
      <c r="N10" s="522"/>
    </row>
    <row r="11" spans="1:14" x14ac:dyDescent="0.2">
      <c r="A11" s="708" t="s">
        <v>918</v>
      </c>
      <c r="B11" s="525"/>
      <c r="C11" s="525"/>
      <c r="D11" s="82">
        <f t="shared" si="0"/>
        <v>0</v>
      </c>
      <c r="E11" s="82"/>
      <c r="F11" s="526"/>
      <c r="G11" s="527"/>
      <c r="H11" s="528"/>
      <c r="I11" s="529"/>
      <c r="J11" s="530"/>
      <c r="K11" s="531"/>
      <c r="L11" s="231">
        <f t="shared" si="1"/>
        <v>0</v>
      </c>
      <c r="M11" s="648"/>
      <c r="N11" s="522"/>
    </row>
    <row r="12" spans="1:14" x14ac:dyDescent="0.2">
      <c r="A12" s="708" t="s">
        <v>918</v>
      </c>
      <c r="B12" s="313"/>
      <c r="C12" s="313"/>
      <c r="D12" s="82">
        <f t="shared" si="0"/>
        <v>0</v>
      </c>
      <c r="E12" s="82"/>
      <c r="F12" s="387"/>
      <c r="G12" s="517"/>
      <c r="H12" s="518"/>
      <c r="I12" s="519"/>
      <c r="J12" s="312"/>
      <c r="K12" s="308"/>
      <c r="L12" s="231">
        <f t="shared" si="1"/>
        <v>0</v>
      </c>
      <c r="M12" s="648"/>
      <c r="N12" s="522"/>
    </row>
    <row r="13" spans="1:14" x14ac:dyDescent="0.2">
      <c r="A13" s="708" t="s">
        <v>918</v>
      </c>
      <c r="B13" s="313"/>
      <c r="C13" s="313"/>
      <c r="D13" s="82">
        <f t="shared" si="0"/>
        <v>0</v>
      </c>
      <c r="E13" s="82"/>
      <c r="F13" s="387"/>
      <c r="G13" s="517"/>
      <c r="H13" s="518"/>
      <c r="I13" s="519"/>
      <c r="J13" s="312"/>
      <c r="K13" s="308"/>
      <c r="L13" s="231">
        <f t="shared" si="1"/>
        <v>0</v>
      </c>
      <c r="M13" s="648"/>
      <c r="N13" s="522"/>
    </row>
    <row r="14" spans="1:14" x14ac:dyDescent="0.2">
      <c r="A14" s="35" t="s">
        <v>125</v>
      </c>
      <c r="B14" s="25">
        <f>SUM(B6:B13)</f>
        <v>0</v>
      </c>
      <c r="C14" s="25">
        <f>SUM(C6:C13)</f>
        <v>0</v>
      </c>
      <c r="D14" s="25">
        <f t="shared" si="0"/>
        <v>0</v>
      </c>
      <c r="E14" s="232" t="e">
        <f>C14/$C$37</f>
        <v>#DIV/0!</v>
      </c>
      <c r="F14" s="25">
        <f>SUM(F6:F13)</f>
        <v>0</v>
      </c>
      <c r="G14" s="342"/>
      <c r="H14" s="338"/>
      <c r="I14" s="340"/>
      <c r="J14" s="25">
        <f>SUM(J6:J13)</f>
        <v>0</v>
      </c>
      <c r="K14" s="25">
        <f>SUM(K6:K13)</f>
        <v>0</v>
      </c>
      <c r="L14" s="217">
        <f>SUM(L6:L13)</f>
        <v>0</v>
      </c>
      <c r="M14" s="648"/>
      <c r="N14" s="522"/>
    </row>
    <row r="15" spans="1:14" x14ac:dyDescent="0.2">
      <c r="B15" s="2"/>
      <c r="C15" s="191"/>
      <c r="G15" s="343"/>
      <c r="H15" s="339"/>
      <c r="I15" s="341"/>
      <c r="J15" s="2"/>
      <c r="K15" s="2"/>
      <c r="L15" s="273"/>
      <c r="M15" s="648"/>
      <c r="N15" s="522"/>
    </row>
    <row r="16" spans="1:14" ht="13.5" thickBot="1" x14ac:dyDescent="0.25">
      <c r="A16" s="555" t="s">
        <v>709</v>
      </c>
      <c r="B16" s="565"/>
      <c r="C16" s="565"/>
      <c r="D16" s="565"/>
      <c r="E16" s="565"/>
      <c r="F16" s="565"/>
      <c r="G16" s="566"/>
      <c r="H16" s="567"/>
      <c r="I16" s="568"/>
      <c r="J16" s="808" t="s">
        <v>836</v>
      </c>
      <c r="K16" s="809"/>
      <c r="L16" s="565"/>
      <c r="M16" s="648"/>
      <c r="N16" s="522"/>
    </row>
    <row r="17" spans="1:14" x14ac:dyDescent="0.2">
      <c r="A17" s="29" t="s">
        <v>561</v>
      </c>
      <c r="B17" s="525"/>
      <c r="C17" s="525"/>
      <c r="D17" s="82">
        <f t="shared" ref="D17:D27" si="2">C17-B17</f>
        <v>0</v>
      </c>
      <c r="E17" s="82"/>
      <c r="F17" s="526"/>
      <c r="G17" s="527"/>
      <c r="H17" s="528"/>
      <c r="I17" s="529"/>
      <c r="J17" s="530"/>
      <c r="K17" s="530"/>
      <c r="L17" s="231">
        <f t="shared" ref="L17:L26" si="3">J17+K17</f>
        <v>0</v>
      </c>
      <c r="M17" s="648"/>
      <c r="N17" s="729"/>
    </row>
    <row r="18" spans="1:14" x14ac:dyDescent="0.2">
      <c r="A18" s="723" t="s">
        <v>934</v>
      </c>
      <c r="B18" s="313"/>
      <c r="C18" s="313"/>
      <c r="D18" s="82">
        <f t="shared" si="2"/>
        <v>0</v>
      </c>
      <c r="E18" s="82"/>
      <c r="F18" s="387"/>
      <c r="G18" s="517"/>
      <c r="H18" s="518"/>
      <c r="I18" s="519"/>
      <c r="J18" s="312"/>
      <c r="K18" s="312"/>
      <c r="L18" s="231">
        <f t="shared" si="3"/>
        <v>0</v>
      </c>
      <c r="M18" s="648"/>
      <c r="N18" s="729"/>
    </row>
    <row r="19" spans="1:14" ht="13.5" thickBot="1" x14ac:dyDescent="0.25">
      <c r="A19" s="727" t="s">
        <v>921</v>
      </c>
      <c r="B19" s="533"/>
      <c r="C19" s="533"/>
      <c r="D19" s="534">
        <f t="shared" si="2"/>
        <v>0</v>
      </c>
      <c r="E19" s="534"/>
      <c r="F19" s="535"/>
      <c r="G19" s="536"/>
      <c r="H19" s="537"/>
      <c r="I19" s="538"/>
      <c r="J19" s="539"/>
      <c r="K19" s="539"/>
      <c r="L19" s="541">
        <f t="shared" si="3"/>
        <v>0</v>
      </c>
      <c r="M19" s="648"/>
      <c r="N19" s="729"/>
    </row>
    <row r="20" spans="1:14" x14ac:dyDescent="0.2">
      <c r="A20" s="723" t="s">
        <v>935</v>
      </c>
      <c r="B20" s="525"/>
      <c r="C20" s="525"/>
      <c r="D20" s="82">
        <f t="shared" si="2"/>
        <v>0</v>
      </c>
      <c r="E20" s="82"/>
      <c r="F20" s="526"/>
      <c r="G20" s="527"/>
      <c r="H20" s="528"/>
      <c r="I20" s="529"/>
      <c r="J20" s="530"/>
      <c r="K20" s="530"/>
      <c r="L20" s="231">
        <f t="shared" si="3"/>
        <v>0</v>
      </c>
      <c r="M20" s="648"/>
      <c r="N20" s="730"/>
    </row>
    <row r="21" spans="1:14" x14ac:dyDescent="0.2">
      <c r="A21" s="723" t="s">
        <v>926</v>
      </c>
      <c r="B21" s="313"/>
      <c r="C21" s="313"/>
      <c r="D21" s="82">
        <f t="shared" si="2"/>
        <v>0</v>
      </c>
      <c r="E21" s="82"/>
      <c r="F21" s="387"/>
      <c r="G21" s="517"/>
      <c r="H21" s="518"/>
      <c r="I21" s="519"/>
      <c r="J21" s="312"/>
      <c r="K21" s="312"/>
      <c r="L21" s="231">
        <f t="shared" si="3"/>
        <v>0</v>
      </c>
      <c r="M21" s="648"/>
      <c r="N21" s="728"/>
    </row>
    <row r="22" spans="1:14" ht="13.5" thickBot="1" x14ac:dyDescent="0.25">
      <c r="A22" s="727" t="s">
        <v>927</v>
      </c>
      <c r="B22" s="533"/>
      <c r="C22" s="533"/>
      <c r="D22" s="534">
        <f t="shared" si="2"/>
        <v>0</v>
      </c>
      <c r="E22" s="534"/>
      <c r="F22" s="535"/>
      <c r="G22" s="536"/>
      <c r="H22" s="537"/>
      <c r="I22" s="538"/>
      <c r="J22" s="539"/>
      <c r="K22" s="539"/>
      <c r="L22" s="541">
        <f t="shared" si="3"/>
        <v>0</v>
      </c>
      <c r="M22" s="648"/>
      <c r="N22" s="729"/>
    </row>
    <row r="23" spans="1:14" x14ac:dyDescent="0.2">
      <c r="A23" s="724" t="s">
        <v>922</v>
      </c>
      <c r="B23" s="525"/>
      <c r="C23" s="525"/>
      <c r="D23" s="82">
        <f t="shared" si="2"/>
        <v>0</v>
      </c>
      <c r="E23" s="82"/>
      <c r="F23" s="526"/>
      <c r="G23" s="527"/>
      <c r="H23" s="528"/>
      <c r="I23" s="529"/>
      <c r="J23" s="530"/>
      <c r="K23" s="530"/>
      <c r="L23" s="231">
        <f t="shared" si="3"/>
        <v>0</v>
      </c>
      <c r="M23" s="647"/>
      <c r="N23" s="729"/>
    </row>
    <row r="24" spans="1:14" x14ac:dyDescent="0.2">
      <c r="A24" s="346" t="s">
        <v>923</v>
      </c>
      <c r="B24" s="313"/>
      <c r="C24" s="313"/>
      <c r="D24" s="82">
        <f t="shared" si="2"/>
        <v>0</v>
      </c>
      <c r="E24" s="82"/>
      <c r="F24" s="387"/>
      <c r="G24" s="517"/>
      <c r="H24" s="518"/>
      <c r="I24" s="519"/>
      <c r="J24" s="312"/>
      <c r="K24" s="312"/>
      <c r="L24" s="231">
        <f t="shared" si="3"/>
        <v>0</v>
      </c>
      <c r="M24" s="648"/>
      <c r="N24" s="729"/>
    </row>
    <row r="25" spans="1:14" x14ac:dyDescent="0.2">
      <c r="A25" s="345" t="s">
        <v>924</v>
      </c>
      <c r="B25" s="313"/>
      <c r="C25" s="313"/>
      <c r="D25" s="82">
        <f t="shared" si="2"/>
        <v>0</v>
      </c>
      <c r="E25" s="82"/>
      <c r="F25" s="387"/>
      <c r="G25" s="517"/>
      <c r="H25" s="518"/>
      <c r="I25" s="519"/>
      <c r="J25" s="312"/>
      <c r="K25" s="312"/>
      <c r="L25" s="231">
        <f t="shared" si="3"/>
        <v>0</v>
      </c>
      <c r="M25" s="648"/>
      <c r="N25" s="730"/>
    </row>
    <row r="26" spans="1:14" x14ac:dyDescent="0.2">
      <c r="A26" s="734" t="s">
        <v>925</v>
      </c>
      <c r="B26" s="313"/>
      <c r="C26" s="313"/>
      <c r="D26" s="82">
        <f t="shared" si="2"/>
        <v>0</v>
      </c>
      <c r="E26" s="82"/>
      <c r="F26" s="387"/>
      <c r="G26" s="517"/>
      <c r="H26" s="518"/>
      <c r="I26" s="519"/>
      <c r="J26" s="312"/>
      <c r="K26" s="312"/>
      <c r="L26" s="231">
        <f t="shared" si="3"/>
        <v>0</v>
      </c>
      <c r="M26" s="648"/>
      <c r="N26" s="730"/>
    </row>
    <row r="27" spans="1:14" x14ac:dyDescent="0.2">
      <c r="A27" s="35" t="s">
        <v>126</v>
      </c>
      <c r="B27" s="25">
        <f>SUM(B17:B26)</f>
        <v>0</v>
      </c>
      <c r="C27" s="25">
        <f>SUM(C17:C26)</f>
        <v>0</v>
      </c>
      <c r="D27" s="25">
        <f t="shared" si="2"/>
        <v>0</v>
      </c>
      <c r="E27" s="232" t="e">
        <f>C27/$C$37</f>
        <v>#DIV/0!</v>
      </c>
      <c r="F27" s="25">
        <f>SUM(F17:F26)</f>
        <v>0</v>
      </c>
      <c r="G27" s="342"/>
      <c r="H27" s="338"/>
      <c r="I27" s="340"/>
      <c r="J27" s="25">
        <f>SUM(J16:J26)</f>
        <v>0</v>
      </c>
      <c r="K27" s="25">
        <f>SUM(K16:K26)</f>
        <v>0</v>
      </c>
      <c r="L27" s="217">
        <f>SUM(L17:L26)</f>
        <v>0</v>
      </c>
      <c r="M27" s="648"/>
      <c r="N27" s="729"/>
    </row>
    <row r="28" spans="1:14" x14ac:dyDescent="0.2">
      <c r="B28" s="2"/>
      <c r="C28" s="2"/>
      <c r="D28" s="2"/>
      <c r="E28" s="2"/>
      <c r="F28" s="2"/>
      <c r="G28" s="343"/>
      <c r="H28" s="339"/>
      <c r="I28" s="341"/>
      <c r="J28" s="2"/>
      <c r="K28" s="2"/>
      <c r="L28" s="2"/>
      <c r="M28" s="648"/>
      <c r="N28" s="522"/>
    </row>
    <row r="29" spans="1:14" ht="13.5" thickBot="1" x14ac:dyDescent="0.25">
      <c r="A29" s="555" t="s">
        <v>708</v>
      </c>
      <c r="B29" s="565"/>
      <c r="C29" s="565"/>
      <c r="D29" s="565"/>
      <c r="E29" s="565"/>
      <c r="F29" s="569"/>
      <c r="G29" s="566"/>
      <c r="H29" s="567"/>
      <c r="I29" s="568"/>
      <c r="J29" s="810" t="s">
        <v>837</v>
      </c>
      <c r="K29" s="811"/>
      <c r="L29" s="570"/>
      <c r="M29" s="648"/>
      <c r="N29" s="522"/>
    </row>
    <row r="30" spans="1:14" x14ac:dyDescent="0.2">
      <c r="A30" s="233" t="s">
        <v>902</v>
      </c>
      <c r="B30" s="525"/>
      <c r="C30" s="525"/>
      <c r="D30" s="82">
        <f t="shared" ref="D30:D35" si="4">C30-B30</f>
        <v>0</v>
      </c>
      <c r="E30" s="82"/>
      <c r="F30" s="526"/>
      <c r="G30" s="542"/>
      <c r="H30" s="528"/>
      <c r="I30" s="529"/>
      <c r="J30" s="530"/>
      <c r="K30" s="530"/>
      <c r="L30" s="231">
        <f>J30+K30</f>
        <v>0</v>
      </c>
      <c r="M30" s="648"/>
      <c r="N30" s="522"/>
    </row>
    <row r="31" spans="1:14" x14ac:dyDescent="0.2">
      <c r="A31" s="723" t="s">
        <v>920</v>
      </c>
      <c r="B31" s="313"/>
      <c r="C31" s="313"/>
      <c r="D31" s="82">
        <f t="shared" si="4"/>
        <v>0</v>
      </c>
      <c r="E31" s="82"/>
      <c r="F31" s="387"/>
      <c r="G31" s="520"/>
      <c r="H31" s="518"/>
      <c r="I31" s="521"/>
      <c r="J31" s="312"/>
      <c r="K31" s="312"/>
      <c r="L31" s="231">
        <f>J31+K31</f>
        <v>0</v>
      </c>
      <c r="M31" s="648"/>
      <c r="N31" s="522"/>
    </row>
    <row r="32" spans="1:14" ht="13.5" thickBot="1" x14ac:dyDescent="0.25">
      <c r="A32" s="544" t="s">
        <v>888</v>
      </c>
      <c r="B32" s="533"/>
      <c r="C32" s="533"/>
      <c r="D32" s="534">
        <f t="shared" si="4"/>
        <v>0</v>
      </c>
      <c r="E32" s="534"/>
      <c r="F32" s="535"/>
      <c r="G32" s="545"/>
      <c r="H32" s="537"/>
      <c r="I32" s="546"/>
      <c r="J32" s="539"/>
      <c r="K32" s="539"/>
      <c r="L32" s="541">
        <f>J32+K32</f>
        <v>0</v>
      </c>
      <c r="M32" s="648"/>
      <c r="N32" s="522"/>
    </row>
    <row r="33" spans="1:14" x14ac:dyDescent="0.2">
      <c r="A33" s="735" t="s">
        <v>928</v>
      </c>
      <c r="B33" s="525"/>
      <c r="C33" s="525"/>
      <c r="D33" s="82">
        <f t="shared" si="4"/>
        <v>0</v>
      </c>
      <c r="E33" s="82"/>
      <c r="F33" s="526"/>
      <c r="G33" s="542"/>
      <c r="H33" s="528"/>
      <c r="I33" s="543"/>
      <c r="J33" s="530"/>
      <c r="K33" s="530"/>
      <c r="L33" s="231">
        <f>J33+K33</f>
        <v>0</v>
      </c>
      <c r="M33" s="648"/>
      <c r="N33" s="699"/>
    </row>
    <row r="34" spans="1:14" x14ac:dyDescent="0.2">
      <c r="A34" s="131" t="s">
        <v>771</v>
      </c>
      <c r="B34" s="313"/>
      <c r="C34" s="313"/>
      <c r="D34" s="82">
        <f t="shared" si="4"/>
        <v>0</v>
      </c>
      <c r="E34" s="82"/>
      <c r="F34" s="387"/>
      <c r="G34" s="520"/>
      <c r="H34" s="518"/>
      <c r="I34" s="521"/>
      <c r="J34" s="312"/>
      <c r="K34" s="312"/>
      <c r="L34" s="231">
        <f>J34+K34</f>
        <v>0</v>
      </c>
      <c r="M34" s="648"/>
      <c r="N34" s="522"/>
    </row>
    <row r="35" spans="1:14" x14ac:dyDescent="0.2">
      <c r="A35" s="35" t="s">
        <v>127</v>
      </c>
      <c r="B35" s="25">
        <f>SUM(B30:B34)</f>
        <v>0</v>
      </c>
      <c r="C35" s="25">
        <f>SUM(C30:C34)</f>
        <v>0</v>
      </c>
      <c r="D35" s="25">
        <f t="shared" si="4"/>
        <v>0</v>
      </c>
      <c r="E35" s="232" t="e">
        <f>C35/$C$37</f>
        <v>#DIV/0!</v>
      </c>
      <c r="F35" s="25">
        <f>SUM(F30:F34)</f>
        <v>0</v>
      </c>
      <c r="G35" s="271"/>
      <c r="H35" s="129"/>
      <c r="I35" s="305"/>
      <c r="J35" s="25">
        <f>SUM(J30:J34)</f>
        <v>0</v>
      </c>
      <c r="K35" s="25">
        <f>SUM(K30:K34)</f>
        <v>0</v>
      </c>
      <c r="L35" s="217">
        <f>SUM(L30:L34)</f>
        <v>0</v>
      </c>
      <c r="N35" s="522"/>
    </row>
    <row r="36" spans="1:14" ht="13.5" thickBot="1" x14ac:dyDescent="0.25">
      <c r="I36" s="208"/>
      <c r="J36" s="2"/>
      <c r="N36" s="699"/>
    </row>
    <row r="37" spans="1:14" ht="13.5" thickBot="1" x14ac:dyDescent="0.25">
      <c r="A37" s="234" t="s">
        <v>171</v>
      </c>
      <c r="B37" s="235">
        <f>SUM(B14,B27,B35)</f>
        <v>0</v>
      </c>
      <c r="C37" s="235">
        <f>SUM(C14,C27,C35)</f>
        <v>0</v>
      </c>
      <c r="D37" s="235">
        <f>C37-B37</f>
        <v>0</v>
      </c>
      <c r="E37" s="235"/>
      <c r="F37" s="235">
        <f>SUM(F14,F27,F35)</f>
        <v>0</v>
      </c>
      <c r="G37" s="236"/>
      <c r="H37" s="236"/>
      <c r="I37" s="237"/>
      <c r="J37" s="235">
        <f>SUM(J14,J27,J35)</f>
        <v>0</v>
      </c>
      <c r="K37" s="235">
        <f>SUM(K14,K27,K35)</f>
        <v>0</v>
      </c>
      <c r="L37" s="256">
        <f>SUM(L14,L27,L35)</f>
        <v>0</v>
      </c>
      <c r="N37" s="522"/>
    </row>
    <row r="38" spans="1:14" ht="13.5" thickBot="1" x14ac:dyDescent="0.25">
      <c r="N38" s="522"/>
    </row>
    <row r="39" spans="1:14" ht="13.5" thickBot="1" x14ac:dyDescent="0.25">
      <c r="A39" s="234" t="s">
        <v>434</v>
      </c>
      <c r="B39" s="235">
        <f>Assets!C116-B37</f>
        <v>0</v>
      </c>
      <c r="C39" s="235">
        <f>Assets!D116-C37</f>
        <v>0</v>
      </c>
      <c r="D39" s="238">
        <f>C39-B39</f>
        <v>0</v>
      </c>
      <c r="E39" s="188"/>
      <c r="I39" s="807" t="s">
        <v>560</v>
      </c>
      <c r="J39" s="807"/>
      <c r="K39" s="807"/>
      <c r="L39" s="807"/>
      <c r="N39" s="522"/>
    </row>
    <row r="40" spans="1:14" x14ac:dyDescent="0.2">
      <c r="B40" s="7"/>
      <c r="I40" s="766" t="s">
        <v>457</v>
      </c>
      <c r="J40" s="766"/>
      <c r="K40" s="766"/>
      <c r="L40" s="7">
        <f>(B39+C39)/2</f>
        <v>0</v>
      </c>
      <c r="N40" s="522"/>
    </row>
    <row r="41" spans="1:14" x14ac:dyDescent="0.2">
      <c r="A41" s="138" t="s">
        <v>310</v>
      </c>
      <c r="B41" s="24"/>
      <c r="C41" s="21"/>
      <c r="D41" s="9" t="s">
        <v>562</v>
      </c>
      <c r="E41" s="9"/>
      <c r="F41" s="194" t="e">
        <f>C39/Assets!D116</f>
        <v>#DIV/0!</v>
      </c>
      <c r="I41" s="766" t="s">
        <v>741</v>
      </c>
      <c r="J41" s="766"/>
      <c r="K41" s="766"/>
      <c r="L41" s="7">
        <f>L40*0.05</f>
        <v>0</v>
      </c>
      <c r="N41" s="522"/>
    </row>
    <row r="42" spans="1:14" x14ac:dyDescent="0.2">
      <c r="A42" s="29"/>
      <c r="B42" s="18"/>
      <c r="C42" s="13"/>
      <c r="I42" s="766" t="s">
        <v>174</v>
      </c>
      <c r="J42" s="766"/>
      <c r="K42" s="766"/>
      <c r="L42" s="2" t="e">
        <f>$C$37/'Prdtn &amp; Acres'!F41</f>
        <v>#DIV/0!</v>
      </c>
      <c r="N42" s="522"/>
    </row>
    <row r="43" spans="1:14" x14ac:dyDescent="0.2">
      <c r="A43" s="81" t="s">
        <v>311</v>
      </c>
      <c r="B43" s="308"/>
      <c r="C43" s="308"/>
      <c r="D43" s="2">
        <f>C43-B43</f>
        <v>0</v>
      </c>
      <c r="E43" s="2"/>
      <c r="I43" s="766" t="s">
        <v>175</v>
      </c>
      <c r="J43" s="766"/>
      <c r="K43" s="766"/>
      <c r="L43" s="2" t="e">
        <f>C37/'Prdtn &amp; Acres'!I45</f>
        <v>#DIV/0!</v>
      </c>
      <c r="N43" s="522"/>
    </row>
    <row r="44" spans="1:14" x14ac:dyDescent="0.2">
      <c r="I44" s="766" t="s">
        <v>176</v>
      </c>
      <c r="J44" s="766"/>
      <c r="K44" s="766"/>
      <c r="L44" s="69" t="e">
        <f>C37/'Prdtn &amp; Acres'!C55</f>
        <v>#DIV/0!</v>
      </c>
      <c r="N44" s="522"/>
    </row>
    <row r="45" spans="1:14" x14ac:dyDescent="0.2">
      <c r="A45" s="301" t="s">
        <v>565</v>
      </c>
      <c r="B45" s="302">
        <f>Assets!C101</f>
        <v>0</v>
      </c>
      <c r="C45" s="302">
        <f>Assets!D101</f>
        <v>0</v>
      </c>
      <c r="I45" s="766" t="s">
        <v>322</v>
      </c>
      <c r="J45" s="766"/>
      <c r="K45" s="766"/>
      <c r="L45" s="69" t="e">
        <f>D37/'Prdtn &amp; Acres'!C55*-1</f>
        <v>#DIV/0!</v>
      </c>
      <c r="N45" s="522"/>
    </row>
    <row r="46" spans="1:14" x14ac:dyDescent="0.2">
      <c r="A46" s="103" t="s">
        <v>742</v>
      </c>
      <c r="B46" s="270"/>
      <c r="C46" s="270"/>
      <c r="I46" s="803" t="s">
        <v>563</v>
      </c>
      <c r="J46" s="803"/>
      <c r="K46" s="803"/>
      <c r="L46" s="2" t="e">
        <f>J37/'Prdtn &amp; Acres'!F41</f>
        <v>#DIV/0!</v>
      </c>
      <c r="N46" s="522"/>
    </row>
    <row r="47" spans="1:14" x14ac:dyDescent="0.2">
      <c r="A47" s="61" t="s">
        <v>743</v>
      </c>
      <c r="B47" s="102">
        <f>B46-B37</f>
        <v>0</v>
      </c>
      <c r="C47" s="102">
        <f>C46-C37</f>
        <v>0</v>
      </c>
    </row>
    <row r="60" spans="1:9" x14ac:dyDescent="0.2">
      <c r="B60" t="s">
        <v>503</v>
      </c>
    </row>
    <row r="62" spans="1:9" x14ac:dyDescent="0.2">
      <c r="B62" s="487"/>
      <c r="C62" s="487"/>
      <c r="D62" s="490"/>
      <c r="E62" s="490"/>
      <c r="F62" s="490"/>
      <c r="G62" s="487"/>
      <c r="H62" s="487"/>
      <c r="I62" s="488"/>
    </row>
    <row r="63" spans="1:9" x14ac:dyDescent="0.2">
      <c r="A63" s="53" t="s">
        <v>420</v>
      </c>
      <c r="B63" s="490"/>
      <c r="C63" s="490"/>
      <c r="D63" s="490"/>
      <c r="E63" s="490"/>
      <c r="F63" s="490"/>
      <c r="G63" s="487">
        <v>31</v>
      </c>
      <c r="H63" s="490"/>
      <c r="I63" s="490"/>
    </row>
    <row r="64" spans="1:9" x14ac:dyDescent="0.2">
      <c r="A64" s="53" t="s">
        <v>421</v>
      </c>
      <c r="B64" s="490"/>
      <c r="C64" s="490"/>
      <c r="D64" s="490"/>
      <c r="E64" s="490"/>
      <c r="F64" s="490"/>
      <c r="G64" s="487">
        <v>28</v>
      </c>
      <c r="H64" s="490"/>
      <c r="I64" s="490"/>
    </row>
    <row r="65" spans="1:9" x14ac:dyDescent="0.2">
      <c r="A65" s="53" t="s">
        <v>422</v>
      </c>
      <c r="B65" s="490"/>
      <c r="C65" s="490"/>
      <c r="D65" s="490"/>
      <c r="E65" s="490"/>
      <c r="F65" s="490"/>
      <c r="G65" s="487">
        <v>31</v>
      </c>
      <c r="H65" s="490"/>
      <c r="I65" s="490"/>
    </row>
    <row r="66" spans="1:9" x14ac:dyDescent="0.2">
      <c r="A66" s="53" t="s">
        <v>423</v>
      </c>
      <c r="B66" s="489"/>
      <c r="C66" s="490"/>
      <c r="D66" s="490"/>
      <c r="E66" s="490"/>
      <c r="F66" s="490"/>
      <c r="G66" s="487">
        <v>30</v>
      </c>
      <c r="H66" s="490"/>
      <c r="I66" s="490"/>
    </row>
    <row r="67" spans="1:9" x14ac:dyDescent="0.2">
      <c r="A67" s="53" t="s">
        <v>424</v>
      </c>
      <c r="B67" s="490"/>
      <c r="C67" s="490"/>
      <c r="D67" s="490"/>
      <c r="E67" s="490"/>
      <c r="F67" s="490"/>
      <c r="G67" s="487">
        <v>31</v>
      </c>
      <c r="H67" s="490"/>
      <c r="I67" s="490"/>
    </row>
    <row r="68" spans="1:9" x14ac:dyDescent="0.2">
      <c r="A68" s="53" t="s">
        <v>425</v>
      </c>
      <c r="B68" s="490"/>
      <c r="C68" s="490"/>
      <c r="D68" s="490"/>
      <c r="E68" s="490"/>
      <c r="F68" s="490"/>
      <c r="G68" s="487">
        <v>30</v>
      </c>
      <c r="H68" s="490"/>
      <c r="I68" s="490"/>
    </row>
    <row r="69" spans="1:9" x14ac:dyDescent="0.2">
      <c r="A69" s="53" t="s">
        <v>228</v>
      </c>
      <c r="B69" s="490"/>
      <c r="C69" s="490"/>
      <c r="D69" s="490"/>
      <c r="E69" s="490"/>
      <c r="F69" s="490"/>
      <c r="G69" s="487">
        <v>31</v>
      </c>
      <c r="H69" s="490"/>
      <c r="I69" s="490"/>
    </row>
    <row r="70" spans="1:9" x14ac:dyDescent="0.2">
      <c r="A70" s="53" t="s">
        <v>426</v>
      </c>
      <c r="B70" s="490"/>
      <c r="C70" s="490"/>
      <c r="D70" s="490"/>
      <c r="E70" s="490"/>
      <c r="F70" s="490"/>
      <c r="G70" s="487">
        <v>31</v>
      </c>
      <c r="H70" s="490"/>
      <c r="I70" s="490"/>
    </row>
    <row r="71" spans="1:9" x14ac:dyDescent="0.2">
      <c r="A71" s="53" t="s">
        <v>427</v>
      </c>
      <c r="B71" s="490"/>
      <c r="C71" s="490"/>
      <c r="D71" s="490"/>
      <c r="E71" s="490"/>
      <c r="F71" s="490"/>
      <c r="G71" s="487">
        <v>30</v>
      </c>
      <c r="H71" s="490"/>
      <c r="I71" s="490"/>
    </row>
    <row r="72" spans="1:9" x14ac:dyDescent="0.2">
      <c r="A72" s="53" t="s">
        <v>428</v>
      </c>
      <c r="B72" s="490"/>
      <c r="C72" s="490"/>
      <c r="D72" s="490"/>
      <c r="E72" s="490"/>
      <c r="F72" s="490"/>
      <c r="G72" s="487">
        <v>31</v>
      </c>
      <c r="H72" s="490"/>
      <c r="I72" s="490"/>
    </row>
    <row r="73" spans="1:9" x14ac:dyDescent="0.2">
      <c r="A73" s="53" t="s">
        <v>429</v>
      </c>
      <c r="B73" s="490"/>
      <c r="C73" s="490"/>
      <c r="D73" s="490"/>
      <c r="E73" s="490"/>
      <c r="F73" s="490"/>
      <c r="G73" s="487">
        <v>30</v>
      </c>
      <c r="H73" s="490"/>
      <c r="I73" s="490"/>
    </row>
    <row r="74" spans="1:9" x14ac:dyDescent="0.2">
      <c r="A74" s="53" t="s">
        <v>430</v>
      </c>
      <c r="B74" s="490"/>
      <c r="C74" s="490"/>
      <c r="D74" s="490"/>
      <c r="E74" s="490"/>
      <c r="F74" s="490"/>
      <c r="G74" s="487">
        <v>31</v>
      </c>
      <c r="H74" s="490"/>
      <c r="I74" s="490"/>
    </row>
    <row r="75" spans="1:9" x14ac:dyDescent="0.2">
      <c r="B75" s="405"/>
      <c r="C75" s="444">
        <f>SUM(C63:C74)</f>
        <v>0</v>
      </c>
      <c r="D75" s="444">
        <f>SUM(D63:D74)</f>
        <v>0</v>
      </c>
      <c r="E75" s="444"/>
      <c r="F75" s="444"/>
      <c r="G75" s="405">
        <f>SUM(G63:G74)</f>
        <v>365</v>
      </c>
      <c r="H75" s="405"/>
      <c r="I75" s="405"/>
    </row>
  </sheetData>
  <sheetProtection password="DA6F" sheet="1" objects="1" scenarios="1"/>
  <mergeCells count="12">
    <mergeCell ref="G1:I1"/>
    <mergeCell ref="I39:L39"/>
    <mergeCell ref="I41:K41"/>
    <mergeCell ref="I40:K40"/>
    <mergeCell ref="J16:K16"/>
    <mergeCell ref="J29:K29"/>
    <mergeCell ref="J2:L2"/>
    <mergeCell ref="I46:K46"/>
    <mergeCell ref="I45:K45"/>
    <mergeCell ref="I44:K44"/>
    <mergeCell ref="I43:K43"/>
    <mergeCell ref="I42:K42"/>
  </mergeCells>
  <phoneticPr fontId="0" type="noConversion"/>
  <printOptions horizontalCentered="1" verticalCentered="1"/>
  <pageMargins left="0.25" right="0.25" top="0.25" bottom="0.25" header="0.25" footer="0.25"/>
  <pageSetup scale="95" orientation="landscape" blackAndWhite="1" draft="1" horizontalDpi="4294967295" r:id="rId1"/>
  <headerFooter alignWithMargins="0">
    <oddFooter>&amp;L&amp;F&amp;R&amp;A &amp;D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Farm Info</vt:lpstr>
      <vt:lpstr>Prdtn &amp; Acres</vt:lpstr>
      <vt:lpstr>Mo. Labor</vt:lpstr>
      <vt:lpstr>Expenses</vt:lpstr>
      <vt:lpstr>Cash Inc.</vt:lpstr>
      <vt:lpstr>Leases</vt:lpstr>
      <vt:lpstr>Assets</vt:lpstr>
      <vt:lpstr>AR and Inv</vt:lpstr>
      <vt:lpstr>Liabilities</vt:lpstr>
      <vt:lpstr>R-Balance Sht</vt:lpstr>
      <vt:lpstr>R-Income Stmt</vt:lpstr>
      <vt:lpstr>R-Cash Flow</vt:lpstr>
      <vt:lpstr>R-Summary</vt:lpstr>
      <vt:lpstr>'AR and Inv'!Print_Area</vt:lpstr>
      <vt:lpstr>Assets!Print_Area</vt:lpstr>
      <vt:lpstr>'Cash Inc.'!Print_Area</vt:lpstr>
      <vt:lpstr>Expenses!Print_Area</vt:lpstr>
      <vt:lpstr>'Farm Info'!Print_Area</vt:lpstr>
      <vt:lpstr>Liabilities!Print_Area</vt:lpstr>
      <vt:lpstr>'Mo. Labor'!Print_Area</vt:lpstr>
      <vt:lpstr>'Prdtn &amp; Acres'!Print_Area</vt:lpstr>
      <vt:lpstr>'R-Cash Flow'!Print_Area</vt:lpstr>
      <vt:lpstr>'R-Summary'!Print_Area</vt:lpstr>
      <vt:lpstr>'R-Summary'!Print_Titles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FFBS Input Form</dc:title>
  <dc:creator>user</dc:creator>
  <cp:lastModifiedBy>Alison DeMarree</cp:lastModifiedBy>
  <cp:lastPrinted>2012-03-06T17:35:45Z</cp:lastPrinted>
  <dcterms:created xsi:type="dcterms:W3CDTF">2001-03-12T21:59:51Z</dcterms:created>
  <dcterms:modified xsi:type="dcterms:W3CDTF">2014-12-29T21:50:29Z</dcterms:modified>
</cp:coreProperties>
</file>